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536" windowWidth="19320" windowHeight="4572" firstSheet="3" activeTab="3"/>
  </bookViews>
  <sheets>
    <sheet name="Hoja2" sheetId="1" state="hidden" r:id="rId1"/>
    <sheet name="Info2" sheetId="2" state="hidden" r:id="rId2"/>
    <sheet name="Info" sheetId="3" state="hidden" r:id="rId3"/>
    <sheet name="FAD to Norm code" sheetId="4" r:id="rId4"/>
    <sheet name="Step by step calculation" sheetId="5" r:id="rId5"/>
    <sheet name="Atlas Copco" sheetId="6" r:id="rId6"/>
    <sheet name="Hoja3" sheetId="7" r:id="rId7"/>
    <sheet name="VBA code" sheetId="8" r:id="rId8"/>
    <sheet name="Ref" sheetId="9" r:id="rId9"/>
    <sheet name="Atlas Copco subroutine" sheetId="10" state="hidden" r:id="rId10"/>
    <sheet name="Water Data" sheetId="11" state="hidden" r:id="rId11"/>
  </sheets>
  <externalReferences>
    <externalReference r:id="rId14"/>
  </externalReferences>
  <definedNames>
    <definedName name="altura">'Hoja2'!$A$4:$A$5</definedName>
    <definedName name="corección">'Hoja2'!$B$4:$B$9</definedName>
    <definedName name="Kelv" localSheetId="3">'Step by step calculation'!#REF!</definedName>
    <definedName name="Kelv">'Step by step calculation'!$D$23</definedName>
    <definedName name="psat">'Hoja3'!$K$3:$L$403</definedName>
  </definedNames>
  <calcPr fullCalcOnLoad="1"/>
</workbook>
</file>

<file path=xl/sharedStrings.xml><?xml version="1.0" encoding="utf-8"?>
<sst xmlns="http://schemas.openxmlformats.org/spreadsheetml/2006/main" count="687" uniqueCount="394">
  <si>
    <t>Humedad Relativa</t>
  </si>
  <si>
    <t>%</t>
  </si>
  <si>
    <t>Presión atmosférica/altura</t>
  </si>
  <si>
    <t>Listas</t>
  </si>
  <si>
    <t>patm/altura</t>
  </si>
  <si>
    <t>bar</t>
  </si>
  <si>
    <t>m.s.n.m.</t>
  </si>
  <si>
    <t>Temperatura</t>
  </si>
  <si>
    <t>°C</t>
  </si>
  <si>
    <t>Condiciones de Sitio</t>
  </si>
  <si>
    <t>correción</t>
  </si>
  <si>
    <t>FAD a Normal</t>
  </si>
  <si>
    <t>Normal a FAD</t>
  </si>
  <si>
    <t>Normal a Standard</t>
  </si>
  <si>
    <t>Standard a Normal</t>
  </si>
  <si>
    <t>Condición Normal</t>
  </si>
  <si>
    <t>Presión atmosférica</t>
  </si>
  <si>
    <t>Operación</t>
  </si>
  <si>
    <t>Caudal requerido</t>
  </si>
  <si>
    <t>l/s</t>
  </si>
  <si>
    <t>l/min</t>
  </si>
  <si>
    <t>cfm</t>
  </si>
  <si>
    <t>gpm</t>
  </si>
  <si>
    <t>m³/h</t>
  </si>
  <si>
    <t>m³/min</t>
  </si>
  <si>
    <t>l/s (FAD)</t>
  </si>
  <si>
    <t>l/min (FAD)</t>
  </si>
  <si>
    <t>m³/h (FAD)</t>
  </si>
  <si>
    <t>m³/min (FAD)</t>
  </si>
  <si>
    <t>cfm (FAD)</t>
  </si>
  <si>
    <t>gpm (FAD)</t>
  </si>
  <si>
    <t>Nl/s</t>
  </si>
  <si>
    <t>Nl/min</t>
  </si>
  <si>
    <t>Nm³/h</t>
  </si>
  <si>
    <t>Nm³/min</t>
  </si>
  <si>
    <t>Ncfm</t>
  </si>
  <si>
    <t>Ngpm</t>
  </si>
  <si>
    <t>Sl/s</t>
  </si>
  <si>
    <t>Sl/min</t>
  </si>
  <si>
    <t>Sm³/h</t>
  </si>
  <si>
    <t>Sm³/min</t>
  </si>
  <si>
    <t>Scfm</t>
  </si>
  <si>
    <t>Sgpm</t>
  </si>
  <si>
    <t>caudales</t>
  </si>
  <si>
    <t>Resultado</t>
  </si>
  <si>
    <t>T(°K)</t>
  </si>
  <si>
    <t>Sitio</t>
  </si>
  <si>
    <t>Temp</t>
  </si>
  <si>
    <r>
      <t>p</t>
    </r>
    <r>
      <rPr>
        <b/>
        <vertAlign val="subscript"/>
        <sz val="10"/>
        <color indexed="62"/>
        <rFont val="Arial"/>
        <family val="2"/>
      </rPr>
      <t>S</t>
    </r>
  </si>
  <si>
    <t>mbar</t>
  </si>
  <si>
    <t>Psat (bar)</t>
  </si>
  <si>
    <t>R(dry)</t>
  </si>
  <si>
    <t>R(wet)</t>
  </si>
  <si>
    <t>Pd</t>
  </si>
  <si>
    <t>RH</t>
  </si>
  <si>
    <t>Pg</t>
  </si>
  <si>
    <t>Patm</t>
  </si>
  <si>
    <t>Rho</t>
  </si>
  <si>
    <t>m(kg/s)</t>
  </si>
  <si>
    <t>Masa</t>
  </si>
  <si>
    <t>kg/s</t>
  </si>
  <si>
    <t>Caudal corregido</t>
  </si>
  <si>
    <t xml:space="preserve"> Normal</t>
  </si>
  <si>
    <t>Std (US)</t>
  </si>
  <si>
    <t>FAD sitio</t>
  </si>
  <si>
    <t>H Relativa</t>
  </si>
  <si>
    <t>Transf.</t>
  </si>
  <si>
    <t>QN(l/s)</t>
  </si>
  <si>
    <t>Q(l/s)</t>
  </si>
  <si>
    <t>QS(l/s)</t>
  </si>
  <si>
    <t>P atm</t>
  </si>
  <si>
    <t>Seleccionado</t>
  </si>
  <si>
    <t>Transf. Masa</t>
  </si>
  <si>
    <t>Selecc. Masa</t>
  </si>
  <si>
    <t>bar(a)</t>
  </si>
  <si>
    <t>Presión atm. del sitio</t>
  </si>
  <si>
    <t>Psat</t>
  </si>
  <si>
    <t>Normal</t>
  </si>
  <si>
    <t>STD</t>
  </si>
  <si>
    <t>Condición Standard</t>
  </si>
  <si>
    <t>FAD a Standard</t>
  </si>
  <si>
    <t>Standard a FAD</t>
  </si>
  <si>
    <t>más info click aquí</t>
  </si>
  <si>
    <t>Atlas Copco utiliza las siguientes condiciones de referencia para la condición Normal:</t>
  </si>
  <si>
    <t>CLICK AQUÍ PARA VOLVER A MENÚ PRINCIPAL</t>
  </si>
  <si>
    <t>Atlas Copco utiliza las siguientes condiciones de referencia para la condición Standard:</t>
  </si>
  <si>
    <t>Condición Standard ASME</t>
  </si>
  <si>
    <t>Condición Standard CAGI</t>
  </si>
  <si>
    <t>Condición Standard Canada</t>
  </si>
  <si>
    <t>Condición Standard US</t>
  </si>
  <si>
    <t>Ecuación utilizada</t>
  </si>
  <si>
    <t>Psat@T[i]: Presión de saturación a temperatura [i]</t>
  </si>
  <si>
    <t>P[i]: Presión atmosférica [i]</t>
  </si>
  <si>
    <t>RH[i]: Humedad relativa [i]</t>
  </si>
  <si>
    <t>V[i]: Volumen [i]</t>
  </si>
  <si>
    <t>T[i]: Temperatura [i]</t>
  </si>
  <si>
    <t>Seleccionar Cálculo</t>
  </si>
  <si>
    <t xml:space="preserve">Estas condiciones pueden variar dependiendo de lo establecido por el usuario. Para utilizar </t>
  </si>
  <si>
    <t>otras condiciones de referencia, sólo se debe cambiar los valores en el menú principal.</t>
  </si>
  <si>
    <t>bar(atm)</t>
  </si>
  <si>
    <t>Sub Listadesplegable2_AlCambiar()</t>
  </si>
  <si>
    <t>Dim a, b As Double</t>
  </si>
  <si>
    <t>ActiveWorkbook.Sheets(2).Activate</t>
  </si>
  <si>
    <t>b = Range("a2")</t>
  </si>
  <si>
    <t>ActiveWorkbook.Sheets(1).Activate</t>
  </si>
  <si>
    <t>a = Range("D7")</t>
  </si>
  <si>
    <t>If b = 1 And a &lt; 0.19 Then</t>
  </si>
  <si>
    <t>MsgBox "Ingresa un valor entre 0,2 y 1,013 bar(a)."</t>
  </si>
  <si>
    <t>a = 1.013</t>
  </si>
  <si>
    <t>Range("D7") = a</t>
  </si>
  <si>
    <t>End If</t>
  </si>
  <si>
    <t>If b = 1 And a &gt; 1.014 Then</t>
  </si>
  <si>
    <t>If b = 2 And a &gt; 6000 Then</t>
  </si>
  <si>
    <t>MsgBox "Ingresa un valor entre 0 y 6.000 m.s.n.m."</t>
  </si>
  <si>
    <t>a = 0</t>
  </si>
  <si>
    <t>If b = 2 And a &lt; 0 Then</t>
  </si>
  <si>
    <t>End S</t>
  </si>
  <si>
    <t xml:space="preserve"> </t>
  </si>
  <si>
    <t>End Sub</t>
  </si>
  <si>
    <t xml:space="preserve">In sheet(2), Range("a2") </t>
  </si>
  <si>
    <t xml:space="preserve">In sheet(1), Range("d7") </t>
  </si>
  <si>
    <t>a =</t>
  </si>
  <si>
    <t xml:space="preserve"> -</t>
  </si>
  <si>
    <t xml:space="preserve"> - </t>
  </si>
  <si>
    <t>ºC</t>
  </si>
  <si>
    <t>Pa</t>
  </si>
  <si>
    <t>K</t>
  </si>
  <si>
    <t>Kelv =</t>
  </si>
  <si>
    <t>Application example</t>
  </si>
  <si>
    <t>Input data: Temperature</t>
  </si>
  <si>
    <t>t =</t>
  </si>
  <si>
    <t>Function used</t>
  </si>
  <si>
    <t>Results</t>
  </si>
  <si>
    <t>SaturatedWaterConductivity_t</t>
  </si>
  <si>
    <t>k =</t>
  </si>
  <si>
    <t>W/(m*K)</t>
  </si>
  <si>
    <t>SaturatedWaterSpecificHeat_t</t>
  </si>
  <si>
    <t>Cp =</t>
  </si>
  <si>
    <t>kJ/kg</t>
  </si>
  <si>
    <t>SaturatedWaterPrandtl_t</t>
  </si>
  <si>
    <t>Pr =</t>
  </si>
  <si>
    <t>SaturatedWaterDensity_t</t>
  </si>
  <si>
    <r>
      <t>r</t>
    </r>
    <r>
      <rPr>
        <b/>
        <sz val="10"/>
        <color indexed="48"/>
        <rFont val="Arial"/>
        <family val="2"/>
      </rPr>
      <t xml:space="preserve"> =</t>
    </r>
  </si>
  <si>
    <r>
      <t>kg/m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</t>
    </r>
  </si>
  <si>
    <t>SaturatedWaterAbsoluteViscosity_t</t>
  </si>
  <si>
    <t>m =</t>
  </si>
  <si>
    <t>Pa*s</t>
  </si>
  <si>
    <t>SaturatedWaterKinematicViscosity_t</t>
  </si>
  <si>
    <t>n =</t>
  </si>
  <si>
    <r>
      <t>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/s</t>
    </r>
  </si>
  <si>
    <t>SaturatedWaterThermalDiffusivity_t</t>
  </si>
  <si>
    <r>
      <t>m</t>
    </r>
    <r>
      <rPr>
        <vertAlign val="superscript"/>
        <sz val="10"/>
        <color indexed="48"/>
        <rFont val="Arial"/>
        <family val="2"/>
      </rPr>
      <t>2</t>
    </r>
    <r>
      <rPr>
        <sz val="10"/>
        <color indexed="48"/>
        <rFont val="Arial"/>
        <family val="2"/>
      </rPr>
      <t>/s</t>
    </r>
  </si>
  <si>
    <t>t</t>
  </si>
  <si>
    <t>k</t>
  </si>
  <si>
    <t>Cp</t>
  </si>
  <si>
    <t>Pr</t>
  </si>
  <si>
    <r>
      <t>r</t>
    </r>
    <r>
      <rPr>
        <vertAlign val="subscript"/>
        <sz val="10"/>
        <rFont val="Arial"/>
        <family val="2"/>
      </rPr>
      <t>agua</t>
    </r>
  </si>
  <si>
    <t>m</t>
  </si>
  <si>
    <t>n</t>
  </si>
  <si>
    <t>a</t>
  </si>
  <si>
    <t>kJ/(kg*K)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</si>
  <si>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</si>
  <si>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Pa s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</si>
  <si>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</si>
  <si>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Saturation properties of water as a function of the temperature</t>
  </si>
  <si>
    <t>b = 1</t>
  </si>
  <si>
    <t>b = 2</t>
  </si>
  <si>
    <t>m.a.s.l.</t>
  </si>
  <si>
    <r>
      <t xml:space="preserve">If pressure is </t>
    </r>
    <r>
      <rPr>
        <b/>
        <sz val="10"/>
        <rFont val="Arial"/>
        <family val="2"/>
      </rPr>
      <t>bar</t>
    </r>
  </si>
  <si>
    <r>
      <t xml:space="preserve">If pressure is  </t>
    </r>
    <r>
      <rPr>
        <b/>
        <sz val="10"/>
        <rFont val="Arial"/>
        <family val="2"/>
      </rPr>
      <t>m.a.s.l.</t>
    </r>
  </si>
  <si>
    <t>Atmospheric prresure value</t>
  </si>
  <si>
    <t>expressed in the selected unit</t>
  </si>
  <si>
    <r>
      <t xml:space="preserve">If the pressure is in </t>
    </r>
    <r>
      <rPr>
        <b/>
        <sz val="10"/>
        <rFont val="Arial"/>
        <family val="2"/>
      </rPr>
      <t>bar (b=1)</t>
    </r>
    <r>
      <rPr>
        <sz val="10"/>
        <rFont val="Arial"/>
        <family val="2"/>
      </rPr>
      <t xml:space="preserve">, the valid accepted atmospheric pressure range is  </t>
    </r>
    <r>
      <rPr>
        <b/>
        <sz val="10"/>
        <rFont val="Arial"/>
        <family val="2"/>
      </rPr>
      <t>0.19 bar &lt; patm &lt; 1.013 bar</t>
    </r>
  </si>
  <si>
    <t>In this case, the atmospheric pressure is set to a = Patm = 1.013, and Cell  ("D7) will show  the value of "a"</t>
  </si>
  <si>
    <r>
      <t xml:space="preserve">If the entered value is </t>
    </r>
    <r>
      <rPr>
        <b/>
        <sz val="10"/>
        <rFont val="Arial"/>
        <family val="2"/>
      </rPr>
      <t>less than 0.19 bar</t>
    </r>
    <r>
      <rPr>
        <sz val="10"/>
        <rFont val="Arial"/>
        <family val="2"/>
      </rPr>
      <t>, a mesage indicates the the pressure range is:  0.2 bar &lt; Patm &lt; 1.013  bar</t>
    </r>
  </si>
  <si>
    <r>
      <t xml:space="preserve">If the entered value is </t>
    </r>
    <r>
      <rPr>
        <b/>
        <sz val="10"/>
        <rFont val="Arial"/>
        <family val="2"/>
      </rPr>
      <t>grather than 1.013 bar</t>
    </r>
    <r>
      <rPr>
        <sz val="10"/>
        <rFont val="Arial"/>
        <family val="2"/>
      </rPr>
      <t>, a mesage indicates the the pressure range is:  0.2 bar &lt; Patm &lt; 1.013  bar</t>
    </r>
  </si>
  <si>
    <r>
      <t xml:space="preserve">If the pressure is in </t>
    </r>
    <r>
      <rPr>
        <b/>
        <sz val="10"/>
        <rFont val="Arial"/>
        <family val="2"/>
      </rPr>
      <t>m.a.s.l (b=2)</t>
    </r>
    <r>
      <rPr>
        <sz val="10"/>
        <rFont val="Arial"/>
        <family val="2"/>
      </rPr>
      <t xml:space="preserve">, the valid accepted atmospheric pressure range is  </t>
    </r>
    <r>
      <rPr>
        <b/>
        <sz val="10"/>
        <rFont val="Arial"/>
        <family val="2"/>
      </rPr>
      <t>0.0 m.a.s.l. &lt; patm &lt; 6000 m.a.s.l</t>
    </r>
  </si>
  <si>
    <r>
      <t xml:space="preserve">If the entered value is </t>
    </r>
    <r>
      <rPr>
        <b/>
        <sz val="10"/>
        <rFont val="Arial"/>
        <family val="2"/>
      </rPr>
      <t>less than 0.0 m.a.s.l.</t>
    </r>
    <r>
      <rPr>
        <sz val="10"/>
        <rFont val="Arial"/>
        <family val="2"/>
      </rPr>
      <t xml:space="preserve">, a mesage indicates the the pressure range is: </t>
    </r>
    <r>
      <rPr>
        <b/>
        <sz val="10"/>
        <rFont val="Arial"/>
        <family val="2"/>
      </rPr>
      <t xml:space="preserve"> 0.0 m.a.s.l. &lt; Patm &lt; 6000 m.a.s.l.</t>
    </r>
  </si>
  <si>
    <t>In this case, the atmospheric pressure is set to a = Patm = 0.0 m.a.s.l, and Cell  ("D7) will show  the value of "a"</t>
  </si>
  <si>
    <r>
      <t xml:space="preserve">If the entered value is </t>
    </r>
    <r>
      <rPr>
        <b/>
        <sz val="10"/>
        <rFont val="Arial"/>
        <family val="2"/>
      </rPr>
      <t>grather than 6000 m.a.s.l.</t>
    </r>
    <r>
      <rPr>
        <sz val="10"/>
        <rFont val="Arial"/>
        <family val="2"/>
      </rPr>
      <t xml:space="preserve">, a mesage indicates the the pressure range is: </t>
    </r>
    <r>
      <rPr>
        <b/>
        <sz val="10"/>
        <rFont val="Arial"/>
        <family val="2"/>
      </rPr>
      <t xml:space="preserve"> 0.0 m.a.s.l. &lt; Patm &lt; 6000 m.a.s.l.</t>
    </r>
  </si>
  <si>
    <t>This subroutine ckeck if the entered value of the atmospheric ptessure, in the defined pressure unit, is in the valid range</t>
  </si>
  <si>
    <t>ROUNDUP(Hoja3!B48,2)</t>
  </si>
  <si>
    <t>sheet(2), Range("a2")  = b =</t>
  </si>
  <si>
    <t>Patm =</t>
  </si>
  <si>
    <t>T =</t>
  </si>
  <si>
    <t>Dry air constant</t>
  </si>
  <si>
    <t>Water constant</t>
  </si>
  <si>
    <t>Dry air partial pressure</t>
  </si>
  <si>
    <t>1000/3600</t>
  </si>
  <si>
    <t>[J/(kg*K)]</t>
  </si>
  <si>
    <t>Mass flow rate</t>
  </si>
  <si>
    <r>
      <t>kg/m</t>
    </r>
    <r>
      <rPr>
        <vertAlign val="superscript"/>
        <sz val="10"/>
        <rFont val="Arial"/>
        <family val="2"/>
      </rPr>
      <t>3</t>
    </r>
  </si>
  <si>
    <t>kg/h</t>
  </si>
  <si>
    <t>Relative humidity atmospheric air</t>
  </si>
  <si>
    <t>Temperature atmospheric air</t>
  </si>
  <si>
    <t>RH% =</t>
  </si>
  <si>
    <t>Density of wet air at site conditions</t>
  </si>
  <si>
    <t>tamb =</t>
  </si>
  <si>
    <t>1 m3/h =</t>
  </si>
  <si>
    <t>State 1: FAD</t>
  </si>
  <si>
    <t>FAD vapor pressure</t>
  </si>
  <si>
    <t>Water sat pressure at Normal cond.</t>
  </si>
  <si>
    <t>Density of normal air</t>
  </si>
  <si>
    <t>p *v =</t>
  </si>
  <si>
    <t>l/s (Fad)</t>
  </si>
  <si>
    <t>FAD volume flow rate</t>
  </si>
  <si>
    <t>State 2 is Normal State</t>
  </si>
  <si>
    <t>FAD(1)  to Normal(2)</t>
  </si>
  <si>
    <t>Atmospheric pressure</t>
  </si>
  <si>
    <t>Relative humidity normal air</t>
  </si>
  <si>
    <t>Normal pressure</t>
  </si>
  <si>
    <t>Air normal temperature</t>
  </si>
  <si>
    <t>Transformation of the required</t>
  </si>
  <si>
    <t>flow rate  Vreq [ m3/h (FAD) ]</t>
  </si>
  <si>
    <t>into  l/s (FAD)</t>
  </si>
  <si>
    <r>
      <t>(P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/R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+ P</t>
    </r>
    <r>
      <rPr>
        <vertAlign val="subscript"/>
        <sz val="10"/>
        <rFont val="Arial"/>
        <family val="2"/>
      </rPr>
      <t>da</t>
    </r>
    <r>
      <rPr>
        <sz val="10"/>
        <rFont val="Arial"/>
        <family val="2"/>
      </rPr>
      <t>/R</t>
    </r>
    <r>
      <rPr>
        <vertAlign val="subscript"/>
        <sz val="10"/>
        <rFont val="Arial"/>
        <family val="2"/>
      </rPr>
      <t>da</t>
    </r>
    <r>
      <rPr>
        <sz val="10"/>
        <rFont val="Arial"/>
        <family val="2"/>
      </rPr>
      <t xml:space="preserve"> ) / T</t>
    </r>
    <r>
      <rPr>
        <vertAlign val="subscript"/>
        <sz val="10"/>
        <rFont val="Arial"/>
        <family val="2"/>
      </rPr>
      <t>Site</t>
    </r>
  </si>
  <si>
    <t>UT =</t>
  </si>
  <si>
    <t xml:space="preserve">Stte 1 is FAD </t>
  </si>
  <si>
    <t>1.- Data</t>
  </si>
  <si>
    <t>(a) Site conditions</t>
  </si>
  <si>
    <t>(b) Required volume flow rate</t>
  </si>
  <si>
    <t>(d) Constants</t>
  </si>
  <si>
    <t>3.- Normal State 2</t>
  </si>
  <si>
    <t>'Dry air constant</t>
  </si>
  <si>
    <t>Rda = 287.05    '[J/(kg*K)]</t>
  </si>
  <si>
    <t>'Water constant</t>
  </si>
  <si>
    <t>Rw = 461.495    '[J/(kg*K)]</t>
  </si>
  <si>
    <t>Kelv = 273.15</t>
  </si>
  <si>
    <t>Patm = Patm_bar * 100 * 1000  'Pa</t>
  </si>
  <si>
    <t>P1 = Patm                     'Pa</t>
  </si>
  <si>
    <t>'Temperature atmospheric air</t>
  </si>
  <si>
    <t>'Relative humidity normal air</t>
  </si>
  <si>
    <t>RHOda_N = PN / (Rda * TN)</t>
  </si>
  <si>
    <t>'Mass flow rate</t>
  </si>
  <si>
    <t>mwa = Vreq * RHOwa</t>
  </si>
  <si>
    <t>'State 2 is Normal State</t>
  </si>
  <si>
    <t>V2 = V1 * (T2 / T1) * (P1 - RH1 * Psat1) / (P2 - RH2 * Psat2)</t>
  </si>
  <si>
    <t>End Function</t>
  </si>
  <si>
    <t>'Kelvin</t>
  </si>
  <si>
    <t>RH1 = RHamb% / 100    ' -</t>
  </si>
  <si>
    <t>T1c = tamb        'ºC</t>
  </si>
  <si>
    <t>T1 = T1c + Kelv  ' K</t>
  </si>
  <si>
    <t>PN = PN_bar * 100 * 1000 'Pa</t>
  </si>
  <si>
    <t>P2 = PN                  'Pa</t>
  </si>
  <si>
    <t>TN = TNc + Kelv    'K</t>
  </si>
  <si>
    <t>RH2 = RHN% / 100    ' -</t>
  </si>
  <si>
    <t>T2c = TNc          ' ºC</t>
  </si>
  <si>
    <t>T2 = T2c + Kelv    ' K</t>
  </si>
  <si>
    <t>Pv1 = RH1 * Psat1     'Pa</t>
  </si>
  <si>
    <t>Pda = Patm - Pv1        'Pa</t>
  </si>
  <si>
    <t>Pv2 = RH2 * Psat2         'Pa</t>
  </si>
  <si>
    <t>RHOwa = (Pv1 / Rw + Pda / Rda) / T1    'kg/m3</t>
  </si>
  <si>
    <t>' V1 (l/s(fad)</t>
  </si>
  <si>
    <t>UT = 0.277777778  '(l/s) / (M3/h)</t>
  </si>
  <si>
    <t>V1 = Vreq * UT    'l/s (FAD)</t>
  </si>
  <si>
    <t>Patm_bar =</t>
  </si>
  <si>
    <t xml:space="preserve">tamb = </t>
  </si>
  <si>
    <t>RHamb% =</t>
  </si>
  <si>
    <t>Vreq =</t>
  </si>
  <si>
    <t>FADtoNORMAL( Patm_bar,tamb,RHamb%,Vreq)</t>
  </si>
  <si>
    <t>Function FADtoNORMAL(Patm_bar, tamb, RHamb%, Vreq)</t>
  </si>
  <si>
    <t xml:space="preserve">                        </t>
  </si>
  <si>
    <t xml:space="preserve">                </t>
  </si>
  <si>
    <t>FADtoNORMAL = V2</t>
  </si>
  <si>
    <t>'This function transform a FAD volume flow rate</t>
  </si>
  <si>
    <t>'ito its corresponding Normal State value.</t>
  </si>
  <si>
    <t>' Constants</t>
  </si>
  <si>
    <t>' Atmospheric data. State 1: FAD</t>
  </si>
  <si>
    <t>' atmospheric pressure</t>
  </si>
  <si>
    <t>' Relative humidity atmospheric air</t>
  </si>
  <si>
    <t>' Normal State   2</t>
  </si>
  <si>
    <t>' Normal pressure an temperature</t>
  </si>
  <si>
    <t>' Air normal temperature</t>
  </si>
  <si>
    <t>' Site consitions State   1</t>
  </si>
  <si>
    <t>'( Water sat pressure at ambient(1) temp</t>
  </si>
  <si>
    <t xml:space="preserve">               </t>
  </si>
  <si>
    <t>' FAD vapor pressure</t>
  </si>
  <si>
    <t>' Dry air partial pressure</t>
  </si>
  <si>
    <t>' Normal vapor pressure</t>
  </si>
  <si>
    <t>' Density of wet air at site conditions</t>
  </si>
  <si>
    <t>'Density of normal air</t>
  </si>
  <si>
    <t>Function to transform a volume flow rate from FAD conditions</t>
  </si>
  <si>
    <t>to a Normal state conditions</t>
  </si>
  <si>
    <t xml:space="preserve">Subroutine_to_ckeck_entered_values </t>
  </si>
  <si>
    <t xml:space="preserve">FAD (Free Air Delivery) (f.a.d) is the actual </t>
  </si>
  <si>
    <t xml:space="preserve">quantity  of compressed air converted back </t>
  </si>
  <si>
    <t xml:space="preserve">to the inlet conditions of the compressor. </t>
  </si>
  <si>
    <t xml:space="preserve">Site conditions: Inlet conditions of the compressor. </t>
  </si>
  <si>
    <t>Patm_bar : Ambient air absolute pressure       [bar]</t>
  </si>
  <si>
    <t>RHamb% : Ambient air relative humidity         [%]</t>
  </si>
  <si>
    <t>tamb: Ambiente air temperature                     [ºC]</t>
  </si>
  <si>
    <t>expresed with the site conditions                    [m3/h (FAD)]</t>
  </si>
  <si>
    <t>expressed in Normal conditions                      [Nl/s]</t>
  </si>
  <si>
    <t>VBA code</t>
  </si>
  <si>
    <t>Function for a FAD to Normal transformation</t>
  </si>
  <si>
    <t>[1]</t>
  </si>
  <si>
    <t>This file was sent via email by an Atlas Copco engineer, without any additional reference. It is simply a file for internal use by this company.</t>
  </si>
  <si>
    <t>Psat2 = SaturatedWaterIcePressure_t(T2c)   'Pa</t>
  </si>
  <si>
    <t>Psat1 = SaturatedWaterIcePressure_t(T1c)   'Pa</t>
  </si>
  <si>
    <t xml:space="preserve">         </t>
  </si>
  <si>
    <t>'                                                   17.12.2021</t>
  </si>
  <si>
    <t>Compressor inlet conditions:</t>
  </si>
  <si>
    <t>Air flowrate at compressor inlet (at site conditions)</t>
  </si>
  <si>
    <t>Equivalent flow rate expresed in Normal Conditions</t>
  </si>
  <si>
    <t>(absolute pressure)</t>
  </si>
  <si>
    <t xml:space="preserve"> Water sat pressure at Normal conditions</t>
  </si>
  <si>
    <r>
      <t>V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=</t>
    </r>
  </si>
  <si>
    <r>
      <t>V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: Value of the given air flow rate    "Vreq"  ,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</si>
  <si>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 (FAD)</t>
    </r>
  </si>
  <si>
    <r>
      <t>V</t>
    </r>
    <r>
      <rPr>
        <vertAlign val="subscript"/>
        <sz val="12"/>
        <rFont val="Arial"/>
        <family val="2"/>
      </rPr>
      <t xml:space="preserve">requerido  </t>
    </r>
    <r>
      <rPr>
        <sz val="12"/>
        <rFont val="Arial"/>
        <family val="2"/>
      </rPr>
      <t>=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</si>
  <si>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  (FAD)</t>
    </r>
  </si>
  <si>
    <r>
      <t>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=</t>
    </r>
  </si>
  <si>
    <r>
      <t>P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=</t>
    </r>
  </si>
  <si>
    <r>
      <t>RH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=</t>
    </r>
  </si>
  <si>
    <r>
      <t>R</t>
    </r>
    <r>
      <rPr>
        <vertAlign val="subscript"/>
        <sz val="12"/>
        <rFont val="Arial"/>
        <family val="2"/>
      </rPr>
      <t>da</t>
    </r>
    <r>
      <rPr>
        <sz val="12"/>
        <rFont val="Arial"/>
        <family val="2"/>
      </rPr>
      <t xml:space="preserve"> =</t>
    </r>
  </si>
  <si>
    <r>
      <t>R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 xml:space="preserve"> =</t>
    </r>
  </si>
  <si>
    <r>
      <t>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</si>
  <si>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V</t>
    </r>
    <r>
      <rPr>
        <vertAlign val="subscript"/>
        <sz val="12"/>
        <rFont val="Arial"/>
        <family val="2"/>
      </rPr>
      <t>FAD</t>
    </r>
    <r>
      <rPr>
        <sz val="12"/>
        <rFont val="Arial"/>
        <family val="2"/>
      </rPr>
      <t xml:space="preserve"> : Compressed air volume flow rate </t>
    </r>
  </si>
  <si>
    <r>
      <t>RH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</si>
  <si>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RH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%/100</t>
    </r>
  </si>
  <si>
    <r>
      <t>RH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% =</t>
    </r>
  </si>
  <si>
    <r>
      <t>V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: Value of the given air flow rate "Vreq"  </t>
    </r>
  </si>
  <si>
    <r>
      <t>t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</si>
  <si>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T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</si>
  <si>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</si>
  <si>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RH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</si>
  <si>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RH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%/100</t>
    </r>
  </si>
  <si>
    <r>
      <t>RH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% =</t>
    </r>
  </si>
  <si>
    <r>
      <t>t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</si>
  <si>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T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</si>
  <si>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Psat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</si>
  <si>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Psat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</si>
  <si>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Pv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</si>
  <si>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RH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* Psat</t>
    </r>
    <r>
      <rPr>
        <vertAlign val="subscript"/>
        <sz val="12"/>
        <rFont val="Arial"/>
        <family val="2"/>
      </rPr>
      <t>1</t>
    </r>
  </si>
  <si>
    <r>
      <t>P</t>
    </r>
    <r>
      <rPr>
        <vertAlign val="subscript"/>
        <sz val="12"/>
        <rFont val="Arial"/>
        <family val="2"/>
      </rPr>
      <t>v1</t>
    </r>
    <r>
      <rPr>
        <sz val="12"/>
        <rFont val="Arial"/>
        <family val="2"/>
      </rPr>
      <t xml:space="preserve"> =</t>
    </r>
  </si>
  <si>
    <r>
      <t>P</t>
    </r>
    <r>
      <rPr>
        <vertAlign val="subscript"/>
        <sz val="12"/>
        <rFont val="Arial"/>
        <family val="2"/>
      </rPr>
      <t xml:space="preserve">da </t>
    </r>
    <r>
      <rPr>
        <sz val="12"/>
        <rFont val="Arial"/>
        <family val="2"/>
      </rPr>
      <t>=</t>
    </r>
  </si>
  <si>
    <r>
      <t>P</t>
    </r>
    <r>
      <rPr>
        <vertAlign val="subscript"/>
        <sz val="12"/>
        <rFont val="Arial"/>
        <family val="2"/>
      </rPr>
      <t>atm</t>
    </r>
    <r>
      <rPr>
        <sz val="12"/>
        <rFont val="Arial"/>
        <family val="2"/>
      </rPr>
      <t xml:space="preserve">  - P</t>
    </r>
    <r>
      <rPr>
        <vertAlign val="subscript"/>
        <sz val="12"/>
        <rFont val="Arial"/>
        <family val="2"/>
      </rPr>
      <t>v</t>
    </r>
    <r>
      <rPr>
        <sz val="12"/>
        <rFont val="Arial"/>
        <family val="2"/>
      </rPr>
      <t xml:space="preserve">  </t>
    </r>
  </si>
  <si>
    <r>
      <t>P</t>
    </r>
    <r>
      <rPr>
        <vertAlign val="subscript"/>
        <sz val="12"/>
        <rFont val="Arial"/>
        <family val="2"/>
      </rPr>
      <t xml:space="preserve">atm </t>
    </r>
    <r>
      <rPr>
        <sz val="12"/>
        <rFont val="Arial"/>
        <family val="2"/>
      </rPr>
      <t>=</t>
    </r>
  </si>
  <si>
    <r>
      <t>P</t>
    </r>
    <r>
      <rPr>
        <vertAlign val="subscript"/>
        <sz val="12"/>
        <rFont val="Arial"/>
        <family val="2"/>
      </rPr>
      <t xml:space="preserve">v </t>
    </r>
    <r>
      <rPr>
        <sz val="12"/>
        <rFont val="Arial"/>
        <family val="2"/>
      </rPr>
      <t>=</t>
    </r>
  </si>
  <si>
    <r>
      <t>Pv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</si>
  <si>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RH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* Psat</t>
    </r>
    <r>
      <rPr>
        <vertAlign val="subscript"/>
        <sz val="12"/>
        <rFont val="Arial"/>
        <family val="2"/>
      </rPr>
      <t>2</t>
    </r>
  </si>
  <si>
    <r>
      <t>P</t>
    </r>
    <r>
      <rPr>
        <vertAlign val="subscript"/>
        <sz val="12"/>
        <rFont val="Arial"/>
        <family val="2"/>
      </rPr>
      <t>v2</t>
    </r>
    <r>
      <rPr>
        <sz val="12"/>
        <rFont val="Arial"/>
        <family val="2"/>
      </rPr>
      <t xml:space="preserve"> =</t>
    </r>
  </si>
  <si>
    <r>
      <rPr>
        <sz val="12"/>
        <rFont val="Symbol"/>
        <family val="1"/>
      </rPr>
      <t>r</t>
    </r>
    <r>
      <rPr>
        <vertAlign val="subscript"/>
        <sz val="12"/>
        <rFont val="Arial"/>
        <family val="2"/>
      </rPr>
      <t>wa</t>
    </r>
    <r>
      <rPr>
        <sz val="12"/>
        <rFont val="Arial"/>
        <family val="2"/>
      </rPr>
      <t xml:space="preserve"> =</t>
    </r>
  </si>
  <si>
    <r>
      <t>P</t>
    </r>
    <r>
      <rPr>
        <vertAlign val="subscript"/>
        <sz val="12"/>
        <rFont val="Arial"/>
        <family val="2"/>
      </rPr>
      <t>da</t>
    </r>
    <r>
      <rPr>
        <sz val="12"/>
        <rFont val="Arial"/>
        <family val="2"/>
      </rPr>
      <t xml:space="preserve"> =</t>
    </r>
  </si>
  <si>
    <r>
      <t>kg/m</t>
    </r>
    <r>
      <rPr>
        <vertAlign val="superscript"/>
        <sz val="12"/>
        <rFont val="Arial"/>
        <family val="2"/>
      </rPr>
      <t>3</t>
    </r>
  </si>
  <si>
    <r>
      <t>R</t>
    </r>
    <r>
      <rPr>
        <vertAlign val="subscript"/>
        <sz val="12"/>
        <rFont val="Arial"/>
        <family val="2"/>
      </rPr>
      <t>da</t>
    </r>
    <r>
      <rPr>
        <sz val="12"/>
        <rFont val="Arial"/>
        <family val="2"/>
      </rPr>
      <t xml:space="preserve"> * T</t>
    </r>
    <r>
      <rPr>
        <vertAlign val="subscript"/>
        <sz val="12"/>
        <rFont val="Arial"/>
        <family val="2"/>
      </rPr>
      <t>N</t>
    </r>
  </si>
  <si>
    <r>
      <rPr>
        <sz val="12"/>
        <rFont val="Symbol"/>
        <family val="1"/>
      </rPr>
      <t>r</t>
    </r>
    <r>
      <rPr>
        <vertAlign val="subscript"/>
        <sz val="12"/>
        <rFont val="Arial"/>
        <family val="2"/>
      </rPr>
      <t>da_N</t>
    </r>
    <r>
      <rPr>
        <sz val="12"/>
        <rFont val="Arial"/>
        <family val="2"/>
      </rPr>
      <t xml:space="preserve"> =</t>
    </r>
  </si>
  <si>
    <r>
      <t>P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/ (R</t>
    </r>
    <r>
      <rPr>
        <vertAlign val="subscript"/>
        <sz val="12"/>
        <rFont val="Arial"/>
        <family val="2"/>
      </rPr>
      <t>da</t>
    </r>
    <r>
      <rPr>
        <sz val="12"/>
        <rFont val="Arial"/>
        <family val="2"/>
      </rPr>
      <t xml:space="preserve"> * 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)</t>
    </r>
  </si>
  <si>
    <r>
      <t>P</t>
    </r>
    <r>
      <rPr>
        <vertAlign val="subscript"/>
        <sz val="12"/>
        <rFont val="Arial"/>
        <family val="2"/>
      </rPr>
      <t xml:space="preserve">N </t>
    </r>
    <r>
      <rPr>
        <sz val="12"/>
        <rFont val="Arial"/>
        <family val="2"/>
      </rPr>
      <t>=</t>
    </r>
  </si>
  <si>
    <r>
      <t>T</t>
    </r>
    <r>
      <rPr>
        <vertAlign val="subscript"/>
        <sz val="12"/>
        <rFont val="Arial"/>
        <family val="2"/>
      </rPr>
      <t xml:space="preserve">N </t>
    </r>
    <r>
      <rPr>
        <sz val="12"/>
        <rFont val="Arial"/>
        <family val="2"/>
      </rPr>
      <t>=</t>
    </r>
  </si>
  <si>
    <r>
      <t>m</t>
    </r>
    <r>
      <rPr>
        <vertAlign val="subscript"/>
        <sz val="12"/>
        <rFont val="Arial"/>
        <family val="2"/>
      </rPr>
      <t>wa</t>
    </r>
    <r>
      <rPr>
        <sz val="12"/>
        <rFont val="Arial"/>
        <family val="2"/>
      </rPr>
      <t xml:space="preserve"> =</t>
    </r>
  </si>
  <si>
    <r>
      <t>V</t>
    </r>
    <r>
      <rPr>
        <vertAlign val="subscript"/>
        <sz val="12"/>
        <rFont val="Arial"/>
        <family val="2"/>
      </rPr>
      <t>req</t>
    </r>
    <r>
      <rPr>
        <sz val="12"/>
        <rFont val="Symbol"/>
        <family val="1"/>
      </rPr>
      <t xml:space="preserve"> * r</t>
    </r>
    <r>
      <rPr>
        <vertAlign val="subscript"/>
        <sz val="12"/>
        <rFont val="Arial"/>
        <family val="2"/>
      </rPr>
      <t>wa</t>
    </r>
    <r>
      <rPr>
        <sz val="12"/>
        <rFont val="Arial"/>
        <family val="2"/>
      </rPr>
      <t xml:space="preserve"> </t>
    </r>
  </si>
  <si>
    <r>
      <t>V</t>
    </r>
    <r>
      <rPr>
        <vertAlign val="subscript"/>
        <sz val="12"/>
        <rFont val="Arial"/>
        <family val="2"/>
      </rPr>
      <t xml:space="preserve">req  </t>
    </r>
    <r>
      <rPr>
        <sz val="12"/>
        <rFont val="Arial"/>
        <family val="2"/>
      </rPr>
      <t>=</t>
    </r>
  </si>
  <si>
    <r>
      <t>V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</si>
  <si>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V</t>
    </r>
    <r>
      <rPr>
        <vertAlign val="subscript"/>
        <sz val="12"/>
        <rFont val="Arial"/>
        <family val="2"/>
      </rPr>
      <t>requerido</t>
    </r>
  </si>
  <si>
    <r>
      <t>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h / l/s)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</si>
  <si>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</si>
  <si>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P</t>
    </r>
    <r>
      <rPr>
        <vertAlign val="subscript"/>
        <sz val="12"/>
        <rFont val="Arial"/>
        <family val="2"/>
      </rPr>
      <t>sat1</t>
    </r>
    <r>
      <rPr>
        <sz val="12"/>
        <rFont val="Arial"/>
        <family val="2"/>
      </rPr>
      <t xml:space="preserve"> =</t>
    </r>
  </si>
  <si>
    <r>
      <t>P</t>
    </r>
    <r>
      <rPr>
        <vertAlign val="subscript"/>
        <sz val="12"/>
        <rFont val="Arial"/>
        <family val="2"/>
      </rPr>
      <t>sat2</t>
    </r>
    <r>
      <rPr>
        <sz val="12"/>
        <rFont val="Arial"/>
        <family val="2"/>
      </rPr>
      <t xml:space="preserve"> =</t>
    </r>
  </si>
  <si>
    <t xml:space="preserve">Result of step by </t>
  </si>
  <si>
    <t>step calculation</t>
  </si>
  <si>
    <t xml:space="preserve">expressed in Normal conditions. For example, in    Nl/s  </t>
  </si>
  <si>
    <t>Free Air Delivery flow rate</t>
  </si>
  <si>
    <t>Normal Conditions</t>
  </si>
  <si>
    <r>
      <t xml:space="preserve">using the function: </t>
    </r>
    <r>
      <rPr>
        <b/>
        <sz val="12"/>
        <color indexed="40"/>
        <rFont val="Arial"/>
        <family val="2"/>
      </rPr>
      <t>FADtoNORMAL</t>
    </r>
  </si>
  <si>
    <t>(Normal liters per second)</t>
  </si>
  <si>
    <t>' Normal conditions</t>
  </si>
  <si>
    <t xml:space="preserve">TNc =  </t>
  </si>
  <si>
    <t xml:space="preserve">PN_bar = </t>
  </si>
  <si>
    <t xml:space="preserve">RHN% = </t>
  </si>
  <si>
    <t xml:space="preserve">2.- Atmospheric data. </t>
  </si>
  <si>
    <t xml:space="preserve">Water sat pressure at </t>
  </si>
  <si>
    <t>ambient temp</t>
  </si>
  <si>
    <t>Psat =SaturatedWaterPressure_t(t)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</si>
  <si>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  (FAD)</t>
    </r>
  </si>
  <si>
    <t>Psat=SaturatedWaterPressure_t(t)</t>
  </si>
  <si>
    <t>Kelvin</t>
  </si>
  <si>
    <r>
      <t>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*(T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)*( 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-RH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*P</t>
    </r>
    <r>
      <rPr>
        <vertAlign val="subscript"/>
        <sz val="10"/>
        <rFont val="Arial"/>
        <family val="2"/>
      </rPr>
      <t>sat1</t>
    </r>
    <r>
      <rPr>
        <sz val="10"/>
        <rFont val="Arial"/>
        <family val="2"/>
      </rPr>
      <t>) / (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-RH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*P</t>
    </r>
    <r>
      <rPr>
        <vertAlign val="subscript"/>
        <sz val="10"/>
        <rFont val="Arial"/>
        <family val="2"/>
      </rPr>
      <t xml:space="preserve">sat2 </t>
    </r>
    <r>
      <rPr>
        <sz val="10"/>
        <rFont val="Arial"/>
        <family val="2"/>
      </rPr>
      <t>)</t>
    </r>
  </si>
  <si>
    <t>(FAD conditions)</t>
  </si>
  <si>
    <t>Example solved with Atlas Copco program</t>
  </si>
  <si>
    <t>Example solved with a</t>
  </si>
  <si>
    <t>step by step calculation</t>
  </si>
  <si>
    <t>Resultant flow in normal conditions</t>
  </si>
  <si>
    <t>State 2: Normal state</t>
  </si>
  <si>
    <t>State 1: FAD state</t>
  </si>
  <si>
    <t>(c) Normal conditions</t>
  </si>
  <si>
    <t>3 of 3</t>
  </si>
  <si>
    <t>2 of 3</t>
  </si>
  <si>
    <t>1 of 3</t>
  </si>
  <si>
    <t>Vapor pressure in normal</t>
  </si>
  <si>
    <t>state</t>
  </si>
  <si>
    <t>bar (a)</t>
  </si>
  <si>
    <t>It is used by the Atlas Copco calculation</t>
  </si>
  <si>
    <t>Do not delete this sheet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</si>
</sst>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"/>
    <numFmt numFmtId="165" formatCode="0.0"/>
    <numFmt numFmtId="166" formatCode="0.000"/>
    <numFmt numFmtId="167" formatCode="0.0000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vertAlign val="subscript"/>
      <sz val="10"/>
      <color indexed="6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sz val="12"/>
      <name val="Courier"/>
      <family val="3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46"/>
      <name val="Arial"/>
      <family val="2"/>
    </font>
    <font>
      <b/>
      <sz val="10"/>
      <color indexed="48"/>
      <name val="Symbol"/>
      <family val="1"/>
    </font>
    <font>
      <vertAlign val="superscript"/>
      <sz val="10"/>
      <color indexed="12"/>
      <name val="Arial"/>
      <family val="2"/>
    </font>
    <font>
      <vertAlign val="superscript"/>
      <sz val="10"/>
      <color indexed="48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2"/>
      <color indexed="40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2"/>
      <name val="Symbol"/>
      <family val="1"/>
    </font>
    <font>
      <sz val="11"/>
      <name val="Arial"/>
      <family val="2"/>
    </font>
    <font>
      <vertAlign val="superscript"/>
      <sz val="8"/>
      <name val="Arial"/>
      <family val="2"/>
    </font>
    <font>
      <sz val="10"/>
      <color indexed="40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ck">
        <color rgb="FF00B0F0"/>
      </left>
      <right/>
      <top/>
      <bottom/>
    </border>
    <border>
      <left style="thick">
        <color rgb="FF00B0F0"/>
      </left>
      <right/>
      <top style="thick">
        <color rgb="FF00B0F0"/>
      </top>
      <bottom/>
    </border>
    <border>
      <left/>
      <right/>
      <top style="thick">
        <color rgb="FF00B0F0"/>
      </top>
      <bottom/>
    </border>
    <border>
      <left style="thick">
        <color rgb="FF00B0F0"/>
      </left>
      <right/>
      <top/>
      <bottom style="thick">
        <color rgb="FF00B0F0"/>
      </bottom>
    </border>
    <border>
      <left/>
      <right/>
      <top/>
      <bottom style="thick">
        <color rgb="FF00B0F0"/>
      </bottom>
    </border>
    <border>
      <left/>
      <right style="thick">
        <color rgb="FF00B0F0"/>
      </right>
      <top style="thick">
        <color rgb="FF00B0F0"/>
      </top>
      <bottom/>
    </border>
    <border>
      <left/>
      <right style="thick">
        <color rgb="FF00B0F0"/>
      </right>
      <top/>
      <bottom/>
    </border>
    <border>
      <left/>
      <right style="thick">
        <color rgb="FF00B0F0"/>
      </right>
      <top/>
      <bottom style="thick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double">
        <color indexed="47"/>
      </left>
      <right/>
      <top style="double">
        <color indexed="47"/>
      </top>
      <bottom/>
    </border>
    <border>
      <left/>
      <right/>
      <top style="double">
        <color indexed="47"/>
      </top>
      <bottom/>
    </border>
    <border>
      <left style="double">
        <color indexed="47"/>
      </left>
      <right/>
      <top/>
      <bottom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double">
        <color indexed="47"/>
      </left>
      <right/>
      <top/>
      <bottom style="double">
        <color indexed="47"/>
      </bottom>
    </border>
    <border>
      <left/>
      <right/>
      <top/>
      <bottom style="double">
        <color indexed="47"/>
      </bottom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 style="medium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 style="thin">
        <color rgb="FF00B0F0"/>
      </left>
      <right/>
      <top style="thin">
        <color rgb="FF00B0F0"/>
      </top>
      <bottom/>
    </border>
    <border>
      <left style="thin">
        <color rgb="FF00B0F0"/>
      </left>
      <right/>
      <top/>
      <bottom/>
    </border>
    <border>
      <left/>
      <right/>
      <top/>
      <bottom style="thin">
        <color rgb="FF00B0F0"/>
      </bottom>
    </border>
    <border>
      <left/>
      <right style="thin">
        <color rgb="FF00B0F0"/>
      </right>
      <top/>
      <bottom style="thin">
        <color rgb="FF00B0F0"/>
      </bottom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64" fontId="0" fillId="0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0" fontId="2" fillId="0" borderId="15" xfId="0" applyFont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33" xfId="0" applyFill="1" applyBorder="1" applyAlignment="1">
      <alignment horizontal="center"/>
    </xf>
    <xf numFmtId="166" fontId="0" fillId="35" borderId="34" xfId="0" applyNumberFormat="1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2" fontId="0" fillId="35" borderId="34" xfId="0" applyNumberFormat="1" applyFill="1" applyBorder="1" applyAlignment="1">
      <alignment horizontal="center"/>
    </xf>
    <xf numFmtId="11" fontId="0" fillId="35" borderId="34" xfId="0" applyNumberFormat="1" applyFill="1" applyBorder="1" applyAlignment="1">
      <alignment horizontal="center"/>
    </xf>
    <xf numFmtId="11" fontId="0" fillId="35" borderId="35" xfId="0" applyNumberFormat="1" applyFill="1" applyBorder="1" applyAlignment="1">
      <alignment horizontal="center"/>
    </xf>
    <xf numFmtId="164" fontId="0" fillId="35" borderId="36" xfId="0" applyNumberFormat="1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166" fontId="0" fillId="35" borderId="14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2" fontId="0" fillId="35" borderId="14" xfId="0" applyNumberFormat="1" applyFill="1" applyBorder="1" applyAlignment="1">
      <alignment horizontal="center"/>
    </xf>
    <xf numFmtId="11" fontId="0" fillId="35" borderId="14" xfId="0" applyNumberFormat="1" applyFill="1" applyBorder="1" applyAlignment="1">
      <alignment horizontal="center"/>
    </xf>
    <xf numFmtId="11" fontId="0" fillId="35" borderId="38" xfId="0" applyNumberFormat="1" applyFill="1" applyBorder="1" applyAlignment="1">
      <alignment horizontal="center"/>
    </xf>
    <xf numFmtId="164" fontId="0" fillId="35" borderId="39" xfId="0" applyNumberFormat="1" applyFill="1" applyBorder="1" applyAlignment="1">
      <alignment horizontal="center"/>
    </xf>
    <xf numFmtId="0" fontId="0" fillId="0" borderId="40" xfId="0" applyFill="1" applyBorder="1" applyAlignment="1">
      <alignment/>
    </xf>
    <xf numFmtId="0" fontId="2" fillId="0" borderId="41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10" fillId="0" borderId="41" xfId="0" applyFont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166" fontId="13" fillId="0" borderId="43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0" borderId="43" xfId="0" applyFont="1" applyBorder="1" applyAlignment="1">
      <alignment horizontal="center"/>
    </xf>
    <xf numFmtId="166" fontId="13" fillId="36" borderId="43" xfId="0" applyNumberFormat="1" applyFont="1" applyFill="1" applyBorder="1" applyAlignment="1">
      <alignment horizontal="center"/>
    </xf>
    <xf numFmtId="0" fontId="13" fillId="0" borderId="43" xfId="0" applyFont="1" applyFill="1" applyBorder="1" applyAlignment="1">
      <alignment/>
    </xf>
    <xf numFmtId="2" fontId="13" fillId="0" borderId="43" xfId="0" applyNumberFormat="1" applyFont="1" applyFill="1" applyBorder="1" applyAlignment="1">
      <alignment horizontal="left"/>
    </xf>
    <xf numFmtId="2" fontId="13" fillId="36" borderId="43" xfId="0" applyNumberFormat="1" applyFont="1" applyFill="1" applyBorder="1" applyAlignment="1">
      <alignment horizontal="center"/>
    </xf>
    <xf numFmtId="165" fontId="13" fillId="0" borderId="43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5" fillId="0" borderId="43" xfId="0" applyFont="1" applyBorder="1" applyAlignment="1">
      <alignment horizontal="center"/>
    </xf>
    <xf numFmtId="165" fontId="13" fillId="36" borderId="43" xfId="0" applyNumberFormat="1" applyFont="1" applyFill="1" applyBorder="1" applyAlignment="1">
      <alignment horizontal="center"/>
    </xf>
    <xf numFmtId="11" fontId="13" fillId="0" borderId="43" xfId="0" applyNumberFormat="1" applyFont="1" applyFill="1" applyBorder="1" applyAlignment="1">
      <alignment horizontal="left"/>
    </xf>
    <xf numFmtId="11" fontId="13" fillId="36" borderId="43" xfId="0" applyNumberFormat="1" applyFont="1" applyFill="1" applyBorder="1" applyAlignment="1">
      <alignment horizontal="center"/>
    </xf>
    <xf numFmtId="0" fontId="11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5" xfId="0" applyFill="1" applyBorder="1" applyAlignment="1">
      <alignment/>
    </xf>
    <xf numFmtId="0" fontId="0" fillId="35" borderId="37" xfId="0" applyFont="1" applyFill="1" applyBorder="1" applyAlignment="1">
      <alignment horizontal="center"/>
    </xf>
    <xf numFmtId="166" fontId="0" fillId="35" borderId="14" xfId="0" applyNumberFormat="1" applyFont="1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166" fontId="0" fillId="35" borderId="47" xfId="0" applyNumberFormat="1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2" fontId="0" fillId="35" borderId="47" xfId="0" applyNumberFormat="1" applyFill="1" applyBorder="1" applyAlignment="1">
      <alignment horizontal="center"/>
    </xf>
    <xf numFmtId="11" fontId="0" fillId="35" borderId="47" xfId="0" applyNumberFormat="1" applyFill="1" applyBorder="1" applyAlignment="1">
      <alignment horizontal="center"/>
    </xf>
    <xf numFmtId="11" fontId="0" fillId="35" borderId="48" xfId="0" applyNumberFormat="1" applyFill="1" applyBorder="1" applyAlignment="1">
      <alignment horizontal="center"/>
    </xf>
    <xf numFmtId="164" fontId="0" fillId="35" borderId="49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56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Font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62" xfId="0" applyBorder="1" applyAlignment="1">
      <alignment/>
    </xf>
    <xf numFmtId="0" fontId="3" fillId="0" borderId="0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19" xfId="0" applyFont="1" applyBorder="1" applyAlignment="1" quotePrefix="1">
      <alignment/>
    </xf>
    <xf numFmtId="0" fontId="0" fillId="0" borderId="17" xfId="0" applyFont="1" applyBorder="1" applyAlignment="1">
      <alignment horizontal="left"/>
    </xf>
    <xf numFmtId="164" fontId="0" fillId="33" borderId="16" xfId="0" applyNumberFormat="1" applyFon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 horizontal="center"/>
      <protection hidden="1"/>
    </xf>
    <xf numFmtId="4" fontId="0" fillId="37" borderId="11" xfId="0" applyNumberFormat="1" applyFont="1" applyFill="1" applyBorder="1" applyAlignment="1" applyProtection="1">
      <alignment horizontal="center"/>
      <protection hidden="1"/>
    </xf>
    <xf numFmtId="0" fontId="0" fillId="39" borderId="11" xfId="0" applyFont="1" applyFill="1" applyBorder="1" applyAlignment="1" applyProtection="1">
      <alignment horizontal="center"/>
      <protection locked="0"/>
    </xf>
    <xf numFmtId="165" fontId="0" fillId="39" borderId="16" xfId="0" applyNumberFormat="1" applyFont="1" applyFill="1" applyBorder="1" applyAlignment="1" applyProtection="1">
      <alignment horizontal="center"/>
      <protection locked="0"/>
    </xf>
    <xf numFmtId="165" fontId="0" fillId="39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17" xfId="0" applyFont="1" applyBorder="1" applyAlignment="1" quotePrefix="1">
      <alignment horizontal="left"/>
    </xf>
    <xf numFmtId="0" fontId="8" fillId="0" borderId="23" xfId="0" applyFont="1" applyBorder="1" applyAlignment="1">
      <alignment/>
    </xf>
    <xf numFmtId="0" fontId="8" fillId="0" borderId="61" xfId="0" applyFont="1" applyBorder="1" applyAlignment="1" quotePrefix="1">
      <alignment/>
    </xf>
    <xf numFmtId="0" fontId="8" fillId="0" borderId="65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8" fillId="39" borderId="0" xfId="0" applyFont="1" applyFill="1" applyBorder="1" applyAlignment="1">
      <alignment horizontal="center"/>
    </xf>
    <xf numFmtId="0" fontId="8" fillId="0" borderId="60" xfId="0" applyFont="1" applyBorder="1" applyAlignment="1">
      <alignment/>
    </xf>
    <xf numFmtId="0" fontId="8" fillId="0" borderId="66" xfId="0" applyFont="1" applyFill="1" applyBorder="1" applyAlignment="1">
      <alignment horizontal="center"/>
    </xf>
    <xf numFmtId="2" fontId="8" fillId="37" borderId="63" xfId="0" applyNumberFormat="1" applyFont="1" applyFill="1" applyBorder="1" applyAlignment="1">
      <alignment horizontal="center"/>
    </xf>
    <xf numFmtId="0" fontId="8" fillId="0" borderId="64" xfId="0" applyFont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7" xfId="0" applyFont="1" applyFill="1" applyBorder="1" applyAlignment="1" quotePrefix="1">
      <alignment horizontal="left"/>
    </xf>
    <xf numFmtId="0" fontId="8" fillId="0" borderId="61" xfId="0" applyFont="1" applyBorder="1" applyAlignment="1" quotePrefix="1">
      <alignment horizontal="left"/>
    </xf>
    <xf numFmtId="0" fontId="8" fillId="39" borderId="6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38" borderId="6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7" xfId="0" applyFont="1" applyBorder="1" applyAlignment="1" quotePrefix="1">
      <alignment/>
    </xf>
    <xf numFmtId="2" fontId="8" fillId="37" borderId="0" xfId="0" applyNumberFormat="1" applyFont="1" applyFill="1" applyBorder="1" applyAlignment="1" quotePrefix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62" xfId="0" applyFont="1" applyFill="1" applyBorder="1" applyAlignment="1">
      <alignment horizontal="center"/>
    </xf>
    <xf numFmtId="0" fontId="8" fillId="0" borderId="63" xfId="0" applyFont="1" applyBorder="1" applyAlignment="1">
      <alignment/>
    </xf>
    <xf numFmtId="0" fontId="8" fillId="0" borderId="67" xfId="0" applyFont="1" applyFill="1" applyBorder="1" applyAlignment="1">
      <alignment horizontal="left"/>
    </xf>
    <xf numFmtId="0" fontId="8" fillId="0" borderId="68" xfId="0" applyFont="1" applyBorder="1" applyAlignment="1">
      <alignment/>
    </xf>
    <xf numFmtId="0" fontId="8" fillId="0" borderId="69" xfId="0" applyFont="1" applyBorder="1" applyAlignment="1">
      <alignment/>
    </xf>
    <xf numFmtId="0" fontId="23" fillId="0" borderId="0" xfId="0" applyFont="1" applyAlignment="1">
      <alignment/>
    </xf>
    <xf numFmtId="0" fontId="8" fillId="0" borderId="61" xfId="0" applyFont="1" applyFill="1" applyBorder="1" applyAlignment="1">
      <alignment horizontal="left"/>
    </xf>
    <xf numFmtId="3" fontId="8" fillId="37" borderId="63" xfId="0" applyNumberFormat="1" applyFont="1" applyFill="1" applyBorder="1" applyAlignment="1">
      <alignment horizontal="center"/>
    </xf>
    <xf numFmtId="0" fontId="8" fillId="37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/>
    </xf>
    <xf numFmtId="0" fontId="23" fillId="0" borderId="17" xfId="0" applyFont="1" applyBorder="1" applyAlignment="1">
      <alignment horizontal="left"/>
    </xf>
    <xf numFmtId="165" fontId="8" fillId="0" borderId="0" xfId="0" applyNumberFormat="1" applyFont="1" applyBorder="1" applyAlignment="1">
      <alignment horizontal="center"/>
    </xf>
    <xf numFmtId="2" fontId="8" fillId="37" borderId="0" xfId="0" applyNumberFormat="1" applyFont="1" applyFill="1" applyBorder="1" applyAlignment="1">
      <alignment horizontal="center"/>
    </xf>
    <xf numFmtId="165" fontId="8" fillId="37" borderId="63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6" fontId="8" fillId="25" borderId="63" xfId="0" applyNumberFormat="1" applyFont="1" applyFill="1" applyBorder="1" applyAlignment="1">
      <alignment horizontal="center"/>
    </xf>
    <xf numFmtId="0" fontId="8" fillId="0" borderId="60" xfId="0" applyFont="1" applyFill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3" fontId="8" fillId="25" borderId="63" xfId="0" applyNumberFormat="1" applyFont="1" applyFill="1" applyBorder="1" applyAlignment="1">
      <alignment horizontal="center"/>
    </xf>
    <xf numFmtId="0" fontId="8" fillId="25" borderId="63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2" fontId="8" fillId="25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5" fillId="0" borderId="17" xfId="0" applyFont="1" applyFill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64" xfId="0" applyFont="1" applyBorder="1" applyAlignment="1">
      <alignment/>
    </xf>
    <xf numFmtId="0" fontId="3" fillId="0" borderId="61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9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2" fontId="8" fillId="25" borderId="0" xfId="0" applyNumberFormat="1" applyFont="1" applyFill="1" applyBorder="1" applyAlignment="1">
      <alignment horizontal="center"/>
    </xf>
    <xf numFmtId="167" fontId="8" fillId="25" borderId="21" xfId="0" applyNumberFormat="1" applyFont="1" applyFill="1" applyBorder="1" applyAlignment="1">
      <alignment horizontal="center"/>
    </xf>
    <xf numFmtId="166" fontId="8" fillId="25" borderId="21" xfId="0" applyNumberFormat="1" applyFont="1" applyFill="1" applyBorder="1" applyAlignment="1">
      <alignment horizontal="center"/>
    </xf>
    <xf numFmtId="2" fontId="8" fillId="37" borderId="21" xfId="0" applyNumberFormat="1" applyFont="1" applyFill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4" fillId="0" borderId="32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62" xfId="0" applyFont="1" applyBorder="1" applyAlignment="1" quotePrefix="1">
      <alignment horizontal="left"/>
    </xf>
    <xf numFmtId="0" fontId="0" fillId="0" borderId="66" xfId="0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29" xfId="0" applyFont="1" applyFill="1" applyBorder="1" applyAlignment="1">
      <alignment horizontal="left"/>
    </xf>
    <xf numFmtId="0" fontId="8" fillId="38" borderId="29" xfId="0" applyFont="1" applyFill="1" applyBorder="1" applyAlignment="1">
      <alignment horizontal="center"/>
    </xf>
    <xf numFmtId="0" fontId="7" fillId="0" borderId="0" xfId="52" applyAlignment="1" applyProtection="1">
      <alignment horizontal="center"/>
      <protection locked="0"/>
    </xf>
    <xf numFmtId="0" fontId="7" fillId="0" borderId="0" xfId="52" applyAlignment="1" applyProtection="1">
      <alignment horizontal="center"/>
      <protection/>
    </xf>
    <xf numFmtId="0" fontId="7" fillId="0" borderId="0" xfId="52" applyFont="1" applyAlignment="1" applyProtection="1">
      <alignment horizontal="left"/>
      <protection locked="0"/>
    </xf>
    <xf numFmtId="0" fontId="8" fillId="0" borderId="62" xfId="0" applyFont="1" applyFill="1" applyBorder="1" applyAlignment="1">
      <alignment horizontal="left"/>
    </xf>
    <xf numFmtId="0" fontId="6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1</xdr:col>
      <xdr:colOff>152400</xdr:colOff>
      <xdr:row>4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1</xdr:col>
      <xdr:colOff>152400</xdr:colOff>
      <xdr:row>4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42</xdr:row>
      <xdr:rowOff>19050</xdr:rowOff>
    </xdr:from>
    <xdr:to>
      <xdr:col>9</xdr:col>
      <xdr:colOff>57150</xdr:colOff>
      <xdr:row>43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0" y="9420225"/>
          <a:ext cx="228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8</xdr:col>
      <xdr:colOff>457200</xdr:colOff>
      <xdr:row>41</xdr:row>
      <xdr:rowOff>57150</xdr:rowOff>
    </xdr:from>
    <xdr:to>
      <xdr:col>9</xdr:col>
      <xdr:colOff>66675</xdr:colOff>
      <xdr:row>42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9210675"/>
          <a:ext cx="219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 editAs="oneCell">
    <xdr:from>
      <xdr:col>1</xdr:col>
      <xdr:colOff>133350</xdr:colOff>
      <xdr:row>54</xdr:row>
      <xdr:rowOff>66675</xdr:rowOff>
    </xdr:from>
    <xdr:to>
      <xdr:col>14</xdr:col>
      <xdr:colOff>600075</xdr:colOff>
      <xdr:row>72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1849100"/>
          <a:ext cx="857250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1</xdr:col>
      <xdr:colOff>628650</xdr:colOff>
      <xdr:row>4</xdr:row>
      <xdr:rowOff>123825</xdr:rowOff>
    </xdr:to>
    <xdr:pic>
      <xdr:nvPicPr>
        <xdr:cNvPr id="1" name="Picture 1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6</xdr:col>
      <xdr:colOff>704850</xdr:colOff>
      <xdr:row>26</xdr:row>
      <xdr:rowOff>76200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3857625"/>
          <a:ext cx="4495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3</xdr:row>
      <xdr:rowOff>38100</xdr:rowOff>
    </xdr:from>
    <xdr:to>
      <xdr:col>11</xdr:col>
      <xdr:colOff>542925</xdr:colOff>
      <xdr:row>4</xdr:row>
      <xdr:rowOff>152400</xdr:rowOff>
    </xdr:to>
    <xdr:sp>
      <xdr:nvSpPr>
        <xdr:cNvPr id="1" name="Left Brace 1"/>
        <xdr:cNvSpPr>
          <a:spLocks/>
        </xdr:cNvSpPr>
      </xdr:nvSpPr>
      <xdr:spPr>
        <a:xfrm>
          <a:off x="6105525" y="561975"/>
          <a:ext cx="247650" cy="285750"/>
        </a:xfrm>
        <a:prstGeom prst="leftBrace">
          <a:avLst>
            <a:gd name="adj1" fmla="val -42949"/>
            <a:gd name="adj2" fmla="val 999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3</xdr:row>
      <xdr:rowOff>85725</xdr:rowOff>
    </xdr:from>
    <xdr:to>
      <xdr:col>14</xdr:col>
      <xdr:colOff>314325</xdr:colOff>
      <xdr:row>3</xdr:row>
      <xdr:rowOff>133350</xdr:rowOff>
    </xdr:to>
    <xdr:sp>
      <xdr:nvSpPr>
        <xdr:cNvPr id="2" name="Right Arrow 2"/>
        <xdr:cNvSpPr>
          <a:spLocks/>
        </xdr:cNvSpPr>
      </xdr:nvSpPr>
      <xdr:spPr>
        <a:xfrm>
          <a:off x="7810500" y="609600"/>
          <a:ext cx="171450" cy="47625"/>
        </a:xfrm>
        <a:prstGeom prst="rightArrow">
          <a:avLst>
            <a:gd name="adj" fmla="val 369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4</xdr:row>
      <xdr:rowOff>85725</xdr:rowOff>
    </xdr:from>
    <xdr:to>
      <xdr:col>14</xdr:col>
      <xdr:colOff>295275</xdr:colOff>
      <xdr:row>4</xdr:row>
      <xdr:rowOff>123825</xdr:rowOff>
    </xdr:to>
    <xdr:sp>
      <xdr:nvSpPr>
        <xdr:cNvPr id="3" name="Right Arrow 3"/>
        <xdr:cNvSpPr>
          <a:spLocks/>
        </xdr:cNvSpPr>
      </xdr:nvSpPr>
      <xdr:spPr>
        <a:xfrm>
          <a:off x="7791450" y="781050"/>
          <a:ext cx="171450" cy="47625"/>
        </a:xfrm>
        <a:prstGeom prst="rightArrow">
          <a:avLst>
            <a:gd name="adj" fmla="val 369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6</xdr:row>
      <xdr:rowOff>0</xdr:rowOff>
    </xdr:from>
    <xdr:to>
      <xdr:col>12</xdr:col>
      <xdr:colOff>76200</xdr:colOff>
      <xdr:row>7</xdr:row>
      <xdr:rowOff>152400</xdr:rowOff>
    </xdr:to>
    <xdr:sp>
      <xdr:nvSpPr>
        <xdr:cNvPr id="4" name="Left Brace 4"/>
        <xdr:cNvSpPr>
          <a:spLocks/>
        </xdr:cNvSpPr>
      </xdr:nvSpPr>
      <xdr:spPr>
        <a:xfrm>
          <a:off x="6276975" y="1028700"/>
          <a:ext cx="200025" cy="314325"/>
        </a:xfrm>
        <a:prstGeom prst="leftBrace">
          <a:avLst>
            <a:gd name="adj1" fmla="val -44643"/>
            <a:gd name="adj2" fmla="val -1040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O14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11.421875" style="0" customWidth="1"/>
    <col min="2" max="2" width="19.8515625" style="0" bestFit="1" customWidth="1"/>
    <col min="3" max="4" width="12.140625" style="0" bestFit="1" customWidth="1"/>
  </cols>
  <sheetData>
    <row r="1" ht="12.75">
      <c r="A1" t="s">
        <v>3</v>
      </c>
    </row>
    <row r="2" spans="1:8" s="43" customFormat="1" ht="12.75">
      <c r="A2" s="135">
        <v>1</v>
      </c>
      <c r="B2" s="136">
        <v>1</v>
      </c>
      <c r="C2" s="137">
        <v>3</v>
      </c>
      <c r="H2" s="138">
        <v>1</v>
      </c>
    </row>
    <row r="3" spans="1:8" ht="12.75">
      <c r="A3" s="1" t="s">
        <v>4</v>
      </c>
      <c r="B3" s="1" t="s">
        <v>10</v>
      </c>
      <c r="C3" s="1" t="s">
        <v>43</v>
      </c>
      <c r="H3" s="1" t="s">
        <v>43</v>
      </c>
    </row>
    <row r="4" spans="1:15" ht="12.75">
      <c r="A4" t="s">
        <v>5</v>
      </c>
      <c r="B4" t="s">
        <v>11</v>
      </c>
      <c r="C4" t="str">
        <f aca="true" t="shared" si="0" ref="C4:C9">VLOOKUP(D4,$D$4:$G$9,ROUNDUP($B$2/2,0)+1)</f>
        <v>l/s (FAD)</v>
      </c>
      <c r="D4">
        <v>1</v>
      </c>
      <c r="E4" t="s">
        <v>25</v>
      </c>
      <c r="F4" t="s">
        <v>31</v>
      </c>
      <c r="G4" t="s">
        <v>37</v>
      </c>
      <c r="H4" t="str">
        <f aca="true" t="shared" si="1" ref="H4:H9">VLOOKUP(I4,$I$4:$O$9,$B$2+1)</f>
        <v>Nl/s</v>
      </c>
      <c r="I4">
        <v>1</v>
      </c>
      <c r="J4" t="s">
        <v>31</v>
      </c>
      <c r="K4" t="s">
        <v>37</v>
      </c>
      <c r="L4" t="s">
        <v>25</v>
      </c>
      <c r="M4" t="s">
        <v>37</v>
      </c>
      <c r="N4" t="s">
        <v>25</v>
      </c>
      <c r="O4" t="s">
        <v>31</v>
      </c>
    </row>
    <row r="5" spans="1:15" ht="12.75">
      <c r="A5" t="s">
        <v>6</v>
      </c>
      <c r="B5" t="s">
        <v>80</v>
      </c>
      <c r="C5" t="str">
        <f t="shared" si="0"/>
        <v>l/min (FAD)</v>
      </c>
      <c r="D5">
        <v>2</v>
      </c>
      <c r="E5" t="s">
        <v>26</v>
      </c>
      <c r="F5" t="s">
        <v>32</v>
      </c>
      <c r="G5" t="s">
        <v>38</v>
      </c>
      <c r="H5" t="str">
        <f t="shared" si="1"/>
        <v>Nl/min</v>
      </c>
      <c r="I5">
        <v>2</v>
      </c>
      <c r="J5" t="s">
        <v>32</v>
      </c>
      <c r="K5" t="s">
        <v>38</v>
      </c>
      <c r="L5" t="s">
        <v>26</v>
      </c>
      <c r="M5" t="s">
        <v>38</v>
      </c>
      <c r="N5" t="s">
        <v>26</v>
      </c>
      <c r="O5" t="s">
        <v>32</v>
      </c>
    </row>
    <row r="6" spans="2:15" ht="12.75">
      <c r="B6" t="s">
        <v>12</v>
      </c>
      <c r="C6" t="str">
        <f t="shared" si="0"/>
        <v>m³/h (FAD)</v>
      </c>
      <c r="D6">
        <v>3</v>
      </c>
      <c r="E6" t="s">
        <v>27</v>
      </c>
      <c r="F6" t="s">
        <v>33</v>
      </c>
      <c r="G6" t="s">
        <v>39</v>
      </c>
      <c r="H6" t="str">
        <f t="shared" si="1"/>
        <v>Nm³/h</v>
      </c>
      <c r="I6">
        <v>3</v>
      </c>
      <c r="J6" t="s">
        <v>33</v>
      </c>
      <c r="K6" t="s">
        <v>39</v>
      </c>
      <c r="L6" t="s">
        <v>27</v>
      </c>
      <c r="M6" t="s">
        <v>39</v>
      </c>
      <c r="N6" t="s">
        <v>27</v>
      </c>
      <c r="O6" t="s">
        <v>33</v>
      </c>
    </row>
    <row r="7" spans="2:15" ht="12.75">
      <c r="B7" t="s">
        <v>13</v>
      </c>
      <c r="C7" t="str">
        <f t="shared" si="0"/>
        <v>m³/min (FAD)</v>
      </c>
      <c r="D7">
        <v>4</v>
      </c>
      <c r="E7" t="s">
        <v>28</v>
      </c>
      <c r="F7" t="s">
        <v>34</v>
      </c>
      <c r="G7" t="s">
        <v>40</v>
      </c>
      <c r="H7" t="str">
        <f t="shared" si="1"/>
        <v>Nm³/min</v>
      </c>
      <c r="I7">
        <v>4</v>
      </c>
      <c r="J7" t="s">
        <v>34</v>
      </c>
      <c r="K7" t="s">
        <v>40</v>
      </c>
      <c r="L7" t="s">
        <v>28</v>
      </c>
      <c r="M7" t="s">
        <v>40</v>
      </c>
      <c r="N7" t="s">
        <v>28</v>
      </c>
      <c r="O7" t="s">
        <v>34</v>
      </c>
    </row>
    <row r="8" spans="2:15" ht="12.75">
      <c r="B8" t="s">
        <v>81</v>
      </c>
      <c r="C8" t="str">
        <f t="shared" si="0"/>
        <v>cfm (FAD)</v>
      </c>
      <c r="D8">
        <v>5</v>
      </c>
      <c r="E8" t="s">
        <v>29</v>
      </c>
      <c r="F8" t="s">
        <v>35</v>
      </c>
      <c r="G8" t="s">
        <v>41</v>
      </c>
      <c r="H8" t="str">
        <f t="shared" si="1"/>
        <v>Ncfm</v>
      </c>
      <c r="I8">
        <v>5</v>
      </c>
      <c r="J8" t="s">
        <v>35</v>
      </c>
      <c r="K8" t="s">
        <v>41</v>
      </c>
      <c r="L8" t="s">
        <v>29</v>
      </c>
      <c r="M8" t="s">
        <v>41</v>
      </c>
      <c r="N8" t="s">
        <v>29</v>
      </c>
      <c r="O8" t="s">
        <v>35</v>
      </c>
    </row>
    <row r="9" spans="2:15" ht="12.75">
      <c r="B9" t="s">
        <v>14</v>
      </c>
      <c r="C9" t="str">
        <f t="shared" si="0"/>
        <v>gpm (FAD)</v>
      </c>
      <c r="D9">
        <v>6</v>
      </c>
      <c r="E9" t="s">
        <v>30</v>
      </c>
      <c r="F9" t="s">
        <v>36</v>
      </c>
      <c r="G9" t="s">
        <v>42</v>
      </c>
      <c r="H9" t="str">
        <f t="shared" si="1"/>
        <v>Ngpm</v>
      </c>
      <c r="I9">
        <v>6</v>
      </c>
      <c r="J9" t="s">
        <v>36</v>
      </c>
      <c r="K9" t="s">
        <v>42</v>
      </c>
      <c r="L9" t="s">
        <v>30</v>
      </c>
      <c r="M9" t="s">
        <v>42</v>
      </c>
      <c r="N9" t="s">
        <v>30</v>
      </c>
      <c r="O9" t="s">
        <v>36</v>
      </c>
    </row>
    <row r="13" ht="12.75">
      <c r="A13" s="134"/>
    </row>
    <row r="14" ht="12.75">
      <c r="A14" s="134"/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B1:V35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8.8515625" style="16" customWidth="1"/>
    <col min="2" max="2" width="3.7109375" style="16" customWidth="1"/>
    <col min="3" max="7" width="8.8515625" style="16" customWidth="1"/>
    <col min="8" max="8" width="3.7109375" style="16" customWidth="1"/>
    <col min="9" max="13" width="8.8515625" style="16" customWidth="1"/>
    <col min="14" max="14" width="10.140625" style="16" customWidth="1"/>
    <col min="15" max="16384" width="8.8515625" style="16" customWidth="1"/>
  </cols>
  <sheetData>
    <row r="1" spans="3:5" ht="13.5" thickBot="1">
      <c r="C1" s="33"/>
      <c r="D1" s="33"/>
      <c r="E1" s="33"/>
    </row>
    <row r="2" spans="2:14" ht="15" thickTop="1">
      <c r="B2" s="50"/>
      <c r="C2" s="51" t="s">
        <v>100</v>
      </c>
      <c r="D2" s="51"/>
      <c r="E2" s="51"/>
      <c r="F2" s="52"/>
      <c r="G2" s="52"/>
      <c r="H2" s="56"/>
      <c r="J2" s="42" t="s">
        <v>180</v>
      </c>
      <c r="L2"/>
      <c r="M2"/>
      <c r="N2"/>
    </row>
    <row r="3" spans="2:12" ht="12.75">
      <c r="B3" s="49"/>
      <c r="C3" s="33" t="s">
        <v>101</v>
      </c>
      <c r="D3" s="33"/>
      <c r="E3" s="33"/>
      <c r="H3" s="57"/>
      <c r="L3" s="29" t="s">
        <v>117</v>
      </c>
    </row>
    <row r="4" spans="2:22" ht="13.5" thickBot="1">
      <c r="B4" s="49"/>
      <c r="C4" s="33"/>
      <c r="D4" s="33"/>
      <c r="E4" s="33"/>
      <c r="H4" s="57"/>
      <c r="M4" s="33" t="s">
        <v>168</v>
      </c>
      <c r="P4" s="33" t="s">
        <v>165</v>
      </c>
      <c r="R4" s="33" t="s">
        <v>182</v>
      </c>
      <c r="U4" s="60">
        <v>1</v>
      </c>
      <c r="V4" s="33" t="s">
        <v>5</v>
      </c>
    </row>
    <row r="5" spans="2:22" ht="13.5" thickTop="1">
      <c r="B5" s="49"/>
      <c r="C5" s="35" t="s">
        <v>102</v>
      </c>
      <c r="D5" s="36"/>
      <c r="E5" s="36"/>
      <c r="F5" s="44"/>
      <c r="G5" s="46"/>
      <c r="H5" s="57"/>
      <c r="J5" s="33" t="s">
        <v>119</v>
      </c>
      <c r="M5" s="33" t="s">
        <v>169</v>
      </c>
      <c r="P5" s="33" t="s">
        <v>166</v>
      </c>
      <c r="R5" s="33" t="s">
        <v>182</v>
      </c>
      <c r="U5" s="60">
        <v>2</v>
      </c>
      <c r="V5" s="33" t="s">
        <v>167</v>
      </c>
    </row>
    <row r="6" spans="2:17" ht="12.75">
      <c r="B6" s="49"/>
      <c r="C6" s="34" t="s">
        <v>103</v>
      </c>
      <c r="D6" s="33"/>
      <c r="E6" s="33"/>
      <c r="G6" s="47"/>
      <c r="H6" s="57"/>
      <c r="J6" s="59"/>
      <c r="K6" s="139"/>
      <c r="Q6" s="33" t="s">
        <v>117</v>
      </c>
    </row>
    <row r="7" spans="2:13" ht="12.75">
      <c r="B7" s="49"/>
      <c r="C7" s="34" t="s">
        <v>104</v>
      </c>
      <c r="D7" s="33"/>
      <c r="E7" s="33"/>
      <c r="G7" s="47"/>
      <c r="H7" s="57"/>
      <c r="J7" s="33" t="s">
        <v>120</v>
      </c>
      <c r="L7" s="139"/>
      <c r="M7" s="33" t="s">
        <v>170</v>
      </c>
    </row>
    <row r="8" spans="2:13" ht="13.5" thickBot="1">
      <c r="B8" s="49"/>
      <c r="C8" s="37" t="s">
        <v>105</v>
      </c>
      <c r="D8" s="38"/>
      <c r="E8" s="38"/>
      <c r="F8" s="45"/>
      <c r="G8" s="48"/>
      <c r="H8" s="57"/>
      <c r="J8" s="59"/>
      <c r="K8" s="139"/>
      <c r="M8" s="29" t="s">
        <v>171</v>
      </c>
    </row>
    <row r="9" spans="2:8" ht="14.25" thickBot="1" thickTop="1">
      <c r="B9" s="49"/>
      <c r="C9" s="33"/>
      <c r="D9" s="33"/>
      <c r="E9" s="33"/>
      <c r="H9" s="57"/>
    </row>
    <row r="10" spans="2:10" ht="13.5" thickTop="1">
      <c r="B10" s="49"/>
      <c r="C10" s="35" t="s">
        <v>106</v>
      </c>
      <c r="D10" s="36"/>
      <c r="E10" s="36"/>
      <c r="F10" s="44"/>
      <c r="G10" s="46"/>
      <c r="H10" s="57"/>
      <c r="J10" s="29" t="s">
        <v>172</v>
      </c>
    </row>
    <row r="11" spans="2:10" ht="12.75">
      <c r="B11" s="49"/>
      <c r="C11" s="34" t="s">
        <v>107</v>
      </c>
      <c r="D11" s="33"/>
      <c r="E11" s="33"/>
      <c r="G11" s="47"/>
      <c r="H11" s="57"/>
      <c r="J11" s="33" t="s">
        <v>174</v>
      </c>
    </row>
    <row r="12" spans="2:10" ht="12.75">
      <c r="B12" s="49"/>
      <c r="C12" s="34" t="s">
        <v>108</v>
      </c>
      <c r="D12" s="33"/>
      <c r="E12" s="33"/>
      <c r="G12" s="47"/>
      <c r="H12" s="57"/>
      <c r="J12" s="29" t="s">
        <v>173</v>
      </c>
    </row>
    <row r="13" spans="2:8" ht="12.75">
      <c r="B13" s="49"/>
      <c r="C13" s="34" t="s">
        <v>109</v>
      </c>
      <c r="D13" s="33"/>
      <c r="E13" s="33"/>
      <c r="G13" s="47"/>
      <c r="H13" s="57"/>
    </row>
    <row r="14" spans="2:10" ht="13.5" thickBot="1">
      <c r="B14" s="49"/>
      <c r="C14" s="34" t="s">
        <v>110</v>
      </c>
      <c r="D14" s="33"/>
      <c r="E14" s="33"/>
      <c r="G14" s="47"/>
      <c r="H14" s="57"/>
      <c r="J14" s="29"/>
    </row>
    <row r="15" spans="2:10" ht="13.5" thickTop="1">
      <c r="B15" s="49"/>
      <c r="C15" s="35" t="s">
        <v>111</v>
      </c>
      <c r="D15" s="36"/>
      <c r="E15" s="36"/>
      <c r="F15" s="44"/>
      <c r="G15" s="46"/>
      <c r="H15" s="57"/>
      <c r="J15" s="29" t="s">
        <v>172</v>
      </c>
    </row>
    <row r="16" spans="2:10" ht="12.75">
      <c r="B16" s="49"/>
      <c r="C16" s="34" t="s">
        <v>107</v>
      </c>
      <c r="D16" s="33"/>
      <c r="E16" s="33"/>
      <c r="G16" s="47"/>
      <c r="H16" s="57"/>
      <c r="J16" s="33" t="s">
        <v>175</v>
      </c>
    </row>
    <row r="17" spans="2:10" ht="12.75">
      <c r="B17" s="49"/>
      <c r="C17" s="34" t="s">
        <v>108</v>
      </c>
      <c r="D17" s="33"/>
      <c r="E17" s="33"/>
      <c r="G17" s="47"/>
      <c r="H17" s="57"/>
      <c r="J17" s="29" t="s">
        <v>173</v>
      </c>
    </row>
    <row r="18" spans="2:8" ht="12.75">
      <c r="B18" s="49"/>
      <c r="C18" s="34" t="s">
        <v>109</v>
      </c>
      <c r="D18" s="33"/>
      <c r="E18" s="33"/>
      <c r="G18" s="47"/>
      <c r="H18" s="57"/>
    </row>
    <row r="19" spans="2:8" ht="13.5" thickBot="1">
      <c r="B19" s="49"/>
      <c r="C19" s="34" t="s">
        <v>110</v>
      </c>
      <c r="D19" s="33"/>
      <c r="E19" s="33"/>
      <c r="G19" s="47"/>
      <c r="H19" s="57"/>
    </row>
    <row r="20" spans="2:10" ht="13.5" thickTop="1">
      <c r="B20" s="49"/>
      <c r="C20" s="35" t="s">
        <v>112</v>
      </c>
      <c r="D20" s="36"/>
      <c r="E20" s="36"/>
      <c r="F20" s="44"/>
      <c r="G20" s="46"/>
      <c r="H20" s="57"/>
      <c r="J20" s="29" t="s">
        <v>176</v>
      </c>
    </row>
    <row r="21" spans="2:10" ht="12.75">
      <c r="B21" s="49"/>
      <c r="C21" s="34" t="s">
        <v>113</v>
      </c>
      <c r="D21" s="33"/>
      <c r="E21" s="33"/>
      <c r="G21" s="47"/>
      <c r="H21" s="57"/>
      <c r="J21" s="33" t="s">
        <v>179</v>
      </c>
    </row>
    <row r="22" spans="2:10" ht="12.75">
      <c r="B22" s="49"/>
      <c r="C22" s="34" t="s">
        <v>114</v>
      </c>
      <c r="D22" s="33"/>
      <c r="E22" s="33"/>
      <c r="G22" s="47"/>
      <c r="H22" s="57"/>
      <c r="J22" s="29" t="s">
        <v>178</v>
      </c>
    </row>
    <row r="23" spans="2:8" ht="12.75">
      <c r="B23" s="49"/>
      <c r="C23" s="34" t="s">
        <v>109</v>
      </c>
      <c r="D23" s="33"/>
      <c r="E23" s="33"/>
      <c r="G23" s="47"/>
      <c r="H23" s="57"/>
    </row>
    <row r="24" spans="2:8" ht="13.5" thickBot="1">
      <c r="B24" s="49"/>
      <c r="C24" s="34" t="s">
        <v>110</v>
      </c>
      <c r="D24" s="33"/>
      <c r="E24" s="33"/>
      <c r="G24" s="47"/>
      <c r="H24" s="57"/>
    </row>
    <row r="25" spans="2:10" ht="13.5" thickTop="1">
      <c r="B25" s="49"/>
      <c r="C25" s="35" t="s">
        <v>115</v>
      </c>
      <c r="D25" s="36"/>
      <c r="E25" s="36"/>
      <c r="F25" s="44"/>
      <c r="G25" s="46"/>
      <c r="H25" s="57"/>
      <c r="J25" s="29" t="s">
        <v>176</v>
      </c>
    </row>
    <row r="26" spans="2:10" ht="12.75">
      <c r="B26" s="49"/>
      <c r="C26" s="34" t="s">
        <v>113</v>
      </c>
      <c r="D26" s="33"/>
      <c r="E26" s="33"/>
      <c r="G26" s="47"/>
      <c r="H26" s="57"/>
      <c r="J26" s="33" t="s">
        <v>177</v>
      </c>
    </row>
    <row r="27" spans="2:10" ht="12.75">
      <c r="B27" s="49"/>
      <c r="C27" s="34" t="s">
        <v>114</v>
      </c>
      <c r="D27" s="33"/>
      <c r="E27" s="33"/>
      <c r="G27" s="47"/>
      <c r="H27" s="57"/>
      <c r="J27" s="29" t="s">
        <v>178</v>
      </c>
    </row>
    <row r="28" spans="2:8" ht="12.75">
      <c r="B28" s="49"/>
      <c r="C28" s="34" t="s">
        <v>109</v>
      </c>
      <c r="D28" s="33"/>
      <c r="E28" s="33"/>
      <c r="G28" s="47"/>
      <c r="H28" s="57"/>
    </row>
    <row r="29" spans="2:8" ht="13.5" thickBot="1">
      <c r="B29" s="49"/>
      <c r="C29" s="37" t="s">
        <v>110</v>
      </c>
      <c r="D29" s="38"/>
      <c r="E29" s="38"/>
      <c r="F29" s="45"/>
      <c r="G29" s="48"/>
      <c r="H29" s="57"/>
    </row>
    <row r="30" spans="2:10" ht="15" thickTop="1">
      <c r="B30" s="49"/>
      <c r="H30" s="57"/>
      <c r="J30" s="42" t="s">
        <v>283</v>
      </c>
    </row>
    <row r="31" spans="2:8" ht="13.5" thickBot="1">
      <c r="B31" s="53"/>
      <c r="C31" s="54" t="s">
        <v>118</v>
      </c>
      <c r="D31" s="54"/>
      <c r="E31" s="54"/>
      <c r="F31" s="55"/>
      <c r="G31" s="55"/>
      <c r="H31" s="58"/>
    </row>
    <row r="32" ht="13.5" thickTop="1">
      <c r="J32" s="29"/>
    </row>
    <row r="33" ht="12.75">
      <c r="J33" s="29"/>
    </row>
    <row r="34" ht="12.75">
      <c r="J34" s="29"/>
    </row>
    <row r="35" ht="12.75">
      <c r="J35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Q29"/>
  <sheetViews>
    <sheetView zoomScalePageLayoutView="0" workbookViewId="0" topLeftCell="A1">
      <selection activeCell="L19" sqref="L19"/>
    </sheetView>
  </sheetViews>
  <sheetFormatPr defaultColWidth="9.140625" defaultRowHeight="12.75"/>
  <sheetData>
    <row r="1" spans="1:17" ht="13.5" thickBot="1">
      <c r="A1" s="61">
        <v>0</v>
      </c>
      <c r="B1" s="62">
        <v>0.569</v>
      </c>
      <c r="C1" s="63">
        <v>4.217</v>
      </c>
      <c r="D1" s="63">
        <v>12.99</v>
      </c>
      <c r="E1" s="64">
        <v>1000</v>
      </c>
      <c r="F1" s="65">
        <v>0.00175</v>
      </c>
      <c r="G1" s="65">
        <v>1.75E-06</v>
      </c>
      <c r="H1" s="66">
        <v>1.349300450557268E-07</v>
      </c>
      <c r="I1" s="67">
        <v>0.006108006263784397</v>
      </c>
      <c r="J1" s="43"/>
      <c r="K1" s="43"/>
      <c r="L1" s="43"/>
      <c r="M1" s="43"/>
      <c r="N1" s="43"/>
      <c r="O1" s="43"/>
      <c r="P1" s="43"/>
      <c r="Q1" s="43"/>
    </row>
    <row r="2" spans="1:17" ht="15" thickTop="1">
      <c r="A2" s="68">
        <v>1.8500000000000227</v>
      </c>
      <c r="B2" s="69">
        <v>0.574</v>
      </c>
      <c r="C2" s="70">
        <v>4.211</v>
      </c>
      <c r="D2" s="70">
        <v>12.22</v>
      </c>
      <c r="E2" s="71">
        <v>1000</v>
      </c>
      <c r="F2" s="72">
        <v>0.001652</v>
      </c>
      <c r="G2" s="72">
        <v>1.652E-06</v>
      </c>
      <c r="H2" s="73">
        <v>1.363096651626692E-07</v>
      </c>
      <c r="I2" s="74">
        <v>0.006979329861419813</v>
      </c>
      <c r="J2" s="75"/>
      <c r="K2" s="76" t="s">
        <v>128</v>
      </c>
      <c r="L2" s="77"/>
      <c r="M2" s="77"/>
      <c r="N2" s="78" t="s">
        <v>117</v>
      </c>
      <c r="O2" s="79"/>
      <c r="P2" s="79"/>
      <c r="Q2" s="43"/>
    </row>
    <row r="3" spans="1:17" ht="15">
      <c r="A3" s="68">
        <v>6.850000000000023</v>
      </c>
      <c r="B3" s="69">
        <v>0.582</v>
      </c>
      <c r="C3" s="70">
        <v>4.198</v>
      </c>
      <c r="D3" s="70">
        <v>10.26</v>
      </c>
      <c r="E3" s="71">
        <v>1000</v>
      </c>
      <c r="F3" s="72">
        <v>0.001422</v>
      </c>
      <c r="G3" s="72">
        <v>1.4220000000000001E-06</v>
      </c>
      <c r="H3" s="73">
        <v>1.3863744640304906E-07</v>
      </c>
      <c r="I3" s="74">
        <v>0.009909238229255038</v>
      </c>
      <c r="J3" s="80"/>
      <c r="K3" s="81"/>
      <c r="L3" s="81"/>
      <c r="M3" s="81"/>
      <c r="N3" s="82"/>
      <c r="O3" s="12"/>
      <c r="P3" s="12"/>
      <c r="Q3" s="43"/>
    </row>
    <row r="4" spans="1:17" ht="12.75">
      <c r="A4" s="68">
        <v>11.85</v>
      </c>
      <c r="B4" s="69">
        <v>0.59</v>
      </c>
      <c r="C4" s="70">
        <v>4.189</v>
      </c>
      <c r="D4" s="70">
        <v>8.81</v>
      </c>
      <c r="E4" s="71">
        <v>1000</v>
      </c>
      <c r="F4" s="72">
        <v>0.001225</v>
      </c>
      <c r="G4" s="72">
        <v>1.225E-06</v>
      </c>
      <c r="H4" s="73">
        <v>1.4084507042253522E-07</v>
      </c>
      <c r="I4" s="74">
        <v>0.013876000341309827</v>
      </c>
      <c r="J4" s="80"/>
      <c r="K4" s="83" t="s">
        <v>129</v>
      </c>
      <c r="L4" s="81"/>
      <c r="M4" s="81"/>
      <c r="N4" s="84" t="s">
        <v>130</v>
      </c>
      <c r="O4" s="85">
        <v>35</v>
      </c>
      <c r="P4" s="16" t="s">
        <v>124</v>
      </c>
      <c r="Q4" s="43"/>
    </row>
    <row r="5" spans="1:17" ht="12.75">
      <c r="A5" s="68">
        <v>16.85</v>
      </c>
      <c r="B5" s="69">
        <v>0.598</v>
      </c>
      <c r="C5" s="70">
        <v>4.184</v>
      </c>
      <c r="D5" s="70">
        <v>7.56</v>
      </c>
      <c r="E5" s="71">
        <v>999.0009990009991</v>
      </c>
      <c r="F5" s="72">
        <v>0.00108</v>
      </c>
      <c r="G5" s="72">
        <v>1.08108E-06</v>
      </c>
      <c r="H5" s="73">
        <v>1.4306835564053535E-07</v>
      </c>
      <c r="I5" s="74">
        <v>0.019178331441811986</v>
      </c>
      <c r="J5" s="80"/>
      <c r="K5" s="83"/>
      <c r="L5" s="81"/>
      <c r="M5" s="81"/>
      <c r="N5" s="86"/>
      <c r="O5" s="16"/>
      <c r="P5" s="16"/>
      <c r="Q5" s="43"/>
    </row>
    <row r="6" spans="1:17" ht="12.75">
      <c r="A6" s="68">
        <v>21.85</v>
      </c>
      <c r="B6" s="69">
        <v>0.606</v>
      </c>
      <c r="C6" s="70">
        <v>4.181</v>
      </c>
      <c r="D6" s="70">
        <v>6.62</v>
      </c>
      <c r="E6" s="71">
        <v>998.003992015968</v>
      </c>
      <c r="F6" s="72">
        <v>0.000959</v>
      </c>
      <c r="G6" s="72">
        <v>9.60918E-07</v>
      </c>
      <c r="H6" s="73">
        <v>1.4523128438172687E-07</v>
      </c>
      <c r="I6" s="74">
        <v>0.026180790527056207</v>
      </c>
      <c r="J6" s="80"/>
      <c r="K6" s="87" t="s">
        <v>131</v>
      </c>
      <c r="L6" s="81"/>
      <c r="M6" s="81"/>
      <c r="N6" s="88"/>
      <c r="O6" s="89" t="s">
        <v>132</v>
      </c>
      <c r="P6" s="90"/>
      <c r="Q6" s="43"/>
    </row>
    <row r="7" spans="1:17" ht="12.75">
      <c r="A7" s="68">
        <v>26.85</v>
      </c>
      <c r="B7" s="69">
        <v>0.613</v>
      </c>
      <c r="C7" s="70">
        <v>4.179</v>
      </c>
      <c r="D7" s="70">
        <v>5.83</v>
      </c>
      <c r="E7" s="71">
        <v>997.0089730807578</v>
      </c>
      <c r="F7" s="72">
        <v>0.000855</v>
      </c>
      <c r="G7" s="72">
        <v>8.575649999999999E-07</v>
      </c>
      <c r="H7" s="73">
        <v>1.4712586743240009E-07</v>
      </c>
      <c r="I7" s="74">
        <v>0.035323425576413346</v>
      </c>
      <c r="J7" s="80"/>
      <c r="K7" s="91" t="s">
        <v>133</v>
      </c>
      <c r="L7" s="92"/>
      <c r="M7" s="92"/>
      <c r="N7" s="93" t="s">
        <v>134</v>
      </c>
      <c r="O7" s="94">
        <f>SaturatedWaterConductivity_t(O4)</f>
        <v>0.625</v>
      </c>
      <c r="P7" s="95" t="s">
        <v>135</v>
      </c>
      <c r="Q7" s="43"/>
    </row>
    <row r="8" spans="1:17" ht="12.75">
      <c r="A8" s="68">
        <v>31.85</v>
      </c>
      <c r="B8" s="69">
        <v>0.62</v>
      </c>
      <c r="C8" s="70">
        <v>4.178</v>
      </c>
      <c r="D8" s="70">
        <v>5.2</v>
      </c>
      <c r="E8" s="71">
        <v>995.0248756218907</v>
      </c>
      <c r="F8" s="72">
        <v>0.000769</v>
      </c>
      <c r="G8" s="72">
        <v>7.728449999999999E-07</v>
      </c>
      <c r="H8" s="73">
        <v>1.4913834370512205E-07</v>
      </c>
      <c r="I8" s="74">
        <v>0.047131919240408104</v>
      </c>
      <c r="J8" s="80"/>
      <c r="K8" s="96" t="s">
        <v>136</v>
      </c>
      <c r="L8" s="29"/>
      <c r="M8" s="29"/>
      <c r="N8" s="93" t="s">
        <v>137</v>
      </c>
      <c r="O8" s="97">
        <f>SaturatedWaterSpecificHeat_t(O4)</f>
        <v>4.177999973297119</v>
      </c>
      <c r="P8" s="95" t="s">
        <v>138</v>
      </c>
      <c r="Q8" s="43"/>
    </row>
    <row r="9" spans="1:17" ht="12.75">
      <c r="A9" s="68">
        <v>36.85</v>
      </c>
      <c r="B9" s="69">
        <v>0.628</v>
      </c>
      <c r="C9" s="70">
        <v>4.178</v>
      </c>
      <c r="D9" s="70">
        <v>4.62</v>
      </c>
      <c r="E9" s="71">
        <v>993.04865938431</v>
      </c>
      <c r="F9" s="72">
        <v>0.000695</v>
      </c>
      <c r="G9" s="72">
        <v>6.998649999999998E-07</v>
      </c>
      <c r="H9" s="73">
        <v>1.5136333173767352E-07</v>
      </c>
      <c r="I9" s="74">
        <v>0.06222812914932803</v>
      </c>
      <c r="J9" s="80"/>
      <c r="K9" s="96" t="s">
        <v>139</v>
      </c>
      <c r="L9" s="29"/>
      <c r="M9" s="29"/>
      <c r="N9" s="93" t="s">
        <v>140</v>
      </c>
      <c r="O9" s="97">
        <f>SaturatedWaterPrandtl_t(O4)</f>
        <v>4.835000038146973</v>
      </c>
      <c r="P9" s="95" t="s">
        <v>122</v>
      </c>
      <c r="Q9" s="43"/>
    </row>
    <row r="10" spans="1:17" ht="15">
      <c r="A10" s="68">
        <v>41.85</v>
      </c>
      <c r="B10" s="69">
        <v>0.634</v>
      </c>
      <c r="C10" s="70">
        <v>4.179</v>
      </c>
      <c r="D10" s="70">
        <v>4.16</v>
      </c>
      <c r="E10" s="71">
        <v>991.0802775024778</v>
      </c>
      <c r="F10" s="72">
        <v>0.000631</v>
      </c>
      <c r="G10" s="72">
        <v>6.36679E-07</v>
      </c>
      <c r="H10" s="73">
        <v>1.5307633405120842E-07</v>
      </c>
      <c r="I10" s="74">
        <v>0.08134090579523134</v>
      </c>
      <c r="J10" s="80"/>
      <c r="K10" s="98" t="s">
        <v>141</v>
      </c>
      <c r="L10" s="99"/>
      <c r="M10" s="99"/>
      <c r="N10" s="100" t="s">
        <v>142</v>
      </c>
      <c r="O10" s="101">
        <f>SaturatedWaterDensity_t(O4)</f>
        <v>993.7798461914062</v>
      </c>
      <c r="P10" s="95" t="s">
        <v>143</v>
      </c>
      <c r="Q10" s="43"/>
    </row>
    <row r="11" spans="1:17" ht="12.75">
      <c r="A11" s="68">
        <v>46.85</v>
      </c>
      <c r="B11" s="69">
        <v>0.64</v>
      </c>
      <c r="C11" s="70">
        <v>4.18</v>
      </c>
      <c r="D11" s="70">
        <v>3.77</v>
      </c>
      <c r="E11" s="71">
        <v>989.1196834817014</v>
      </c>
      <c r="F11" s="72">
        <v>0.000577</v>
      </c>
      <c r="G11" s="72">
        <v>5.77577E-07</v>
      </c>
      <c r="H11" s="73">
        <v>1.5326315789473686E-07</v>
      </c>
      <c r="I11" s="74">
        <v>0.10531706312330934</v>
      </c>
      <c r="J11" s="80"/>
      <c r="K11" s="102" t="s">
        <v>144</v>
      </c>
      <c r="L11" s="29"/>
      <c r="M11" s="29"/>
      <c r="N11" s="100" t="s">
        <v>145</v>
      </c>
      <c r="O11" s="103">
        <f>SaturatedWaterAbsoluteViscosity_t(O4)</f>
        <v>0.0007223800057545304</v>
      </c>
      <c r="P11" s="95" t="s">
        <v>146</v>
      </c>
      <c r="Q11" s="43"/>
    </row>
    <row r="12" spans="1:17" ht="15">
      <c r="A12" s="68">
        <v>51.85</v>
      </c>
      <c r="B12" s="69">
        <v>0.645</v>
      </c>
      <c r="C12" s="70">
        <v>4.182</v>
      </c>
      <c r="D12" s="70">
        <v>3.42</v>
      </c>
      <c r="E12" s="71">
        <v>987.166831194472</v>
      </c>
      <c r="F12" s="72">
        <v>0.000528</v>
      </c>
      <c r="G12" s="72">
        <v>5.348639999999999E-07</v>
      </c>
      <c r="H12" s="73">
        <v>1.5623744619799136E-07</v>
      </c>
      <c r="I12" s="74">
        <v>0.13513237273365142</v>
      </c>
      <c r="J12" s="80"/>
      <c r="K12" s="102" t="s">
        <v>147</v>
      </c>
      <c r="L12" s="29"/>
      <c r="M12" s="29"/>
      <c r="N12" s="100" t="s">
        <v>148</v>
      </c>
      <c r="O12" s="103">
        <f>SaturatedWaterKinematicViscosity_t(O4)</f>
        <v>7.268999979714863E-07</v>
      </c>
      <c r="P12" s="95" t="s">
        <v>149</v>
      </c>
      <c r="Q12" s="43"/>
    </row>
    <row r="13" spans="1:17" ht="15">
      <c r="A13" s="68">
        <v>56.85</v>
      </c>
      <c r="B13" s="69">
        <v>0.651</v>
      </c>
      <c r="C13" s="70">
        <v>4.184</v>
      </c>
      <c r="D13" s="70">
        <v>3.15</v>
      </c>
      <c r="E13" s="71">
        <v>984.2519685039371</v>
      </c>
      <c r="F13" s="72">
        <v>0.000489</v>
      </c>
      <c r="G13" s="72">
        <v>4.96824E-07</v>
      </c>
      <c r="H13" s="73">
        <v>1.5783938814531548E-07</v>
      </c>
      <c r="I13" s="74">
        <v>0.17190245197227494</v>
      </c>
      <c r="J13" s="80"/>
      <c r="K13" s="102" t="s">
        <v>150</v>
      </c>
      <c r="L13" s="13"/>
      <c r="M13" s="13"/>
      <c r="N13" s="100" t="s">
        <v>121</v>
      </c>
      <c r="O13" s="103">
        <f>SaturatedWaterThermalDiffusivity_t(O4)</f>
        <v>1.5050000001792796E-07</v>
      </c>
      <c r="P13" s="104" t="s">
        <v>151</v>
      </c>
      <c r="Q13" s="43"/>
    </row>
    <row r="14" spans="1:17" ht="13.5" thickBot="1">
      <c r="A14" s="68">
        <v>61.85</v>
      </c>
      <c r="B14" s="69">
        <v>0.656</v>
      </c>
      <c r="C14" s="70">
        <v>4.186</v>
      </c>
      <c r="D14" s="70">
        <v>2.88</v>
      </c>
      <c r="E14" s="71">
        <v>982.3182711198428</v>
      </c>
      <c r="F14" s="72">
        <v>0.000453</v>
      </c>
      <c r="G14" s="72">
        <v>4.61154E-07</v>
      </c>
      <c r="H14" s="73">
        <v>1.5953368370759673E-07</v>
      </c>
      <c r="I14" s="74">
        <v>0.21689341906538584</v>
      </c>
      <c r="J14" s="105"/>
      <c r="K14" s="106"/>
      <c r="L14" s="107"/>
      <c r="M14" s="107"/>
      <c r="N14" s="108"/>
      <c r="O14" s="108"/>
      <c r="P14" s="108"/>
      <c r="Q14" s="43"/>
    </row>
    <row r="15" spans="1:17" ht="13.5" thickTop="1">
      <c r="A15" s="68">
        <v>66.85</v>
      </c>
      <c r="B15" s="69">
        <v>0.66</v>
      </c>
      <c r="C15" s="70">
        <v>4.188</v>
      </c>
      <c r="D15" s="70">
        <v>2.66</v>
      </c>
      <c r="E15" s="71">
        <v>979.4319294809011</v>
      </c>
      <c r="F15" s="72">
        <v>0.00042</v>
      </c>
      <c r="G15" s="72">
        <v>4.2882E-07</v>
      </c>
      <c r="H15" s="73">
        <v>1.6090257879656164E-07</v>
      </c>
      <c r="I15" s="74">
        <v>0.2715321945798864</v>
      </c>
      <c r="J15" s="43"/>
      <c r="K15" s="43"/>
      <c r="L15" s="43"/>
      <c r="M15" s="43"/>
      <c r="N15" s="43"/>
      <c r="O15" s="43"/>
      <c r="P15" s="43"/>
      <c r="Q15" s="43"/>
    </row>
    <row r="16" spans="1:17" ht="12.75">
      <c r="A16" s="109">
        <v>71.85</v>
      </c>
      <c r="B16" s="110">
        <v>0.664</v>
      </c>
      <c r="C16" s="70">
        <v>4.191</v>
      </c>
      <c r="D16" s="70">
        <v>2.45</v>
      </c>
      <c r="E16" s="71">
        <v>976.5625</v>
      </c>
      <c r="F16" s="72">
        <v>0.000389</v>
      </c>
      <c r="G16" s="72">
        <v>3.98336E-07</v>
      </c>
      <c r="H16" s="73">
        <v>1.632145072774994E-07</v>
      </c>
      <c r="I16" s="74">
        <v>0.33741633752673394</v>
      </c>
      <c r="J16" s="43"/>
      <c r="K16" s="43"/>
      <c r="L16" s="43"/>
      <c r="M16" s="43"/>
      <c r="N16" s="43"/>
      <c r="O16" s="43"/>
      <c r="P16" s="43"/>
      <c r="Q16" s="43"/>
    </row>
    <row r="17" spans="1:17" ht="12.75">
      <c r="A17" s="68">
        <v>76.85</v>
      </c>
      <c r="B17" s="69">
        <v>0.668</v>
      </c>
      <c r="C17" s="70">
        <v>4.195</v>
      </c>
      <c r="D17" s="70">
        <v>2.29</v>
      </c>
      <c r="E17" s="71">
        <v>973.7098344693283</v>
      </c>
      <c r="F17" s="72">
        <v>0.000365</v>
      </c>
      <c r="G17" s="72">
        <v>3.748549999999999E-07</v>
      </c>
      <c r="H17" s="73">
        <v>1.6353659117997615E-07</v>
      </c>
      <c r="I17" s="74">
        <v>0.41632331593192085</v>
      </c>
      <c r="J17" s="43"/>
      <c r="K17" s="43"/>
      <c r="L17" s="43"/>
      <c r="M17" s="43"/>
      <c r="N17" s="43"/>
      <c r="O17" s="43"/>
      <c r="P17" s="43"/>
      <c r="Q17" s="43"/>
    </row>
    <row r="18" spans="1:17" ht="12.75">
      <c r="A18" s="68">
        <v>81.85</v>
      </c>
      <c r="B18" s="69">
        <v>0.671</v>
      </c>
      <c r="C18" s="70">
        <v>4.199</v>
      </c>
      <c r="D18" s="70">
        <v>2.14</v>
      </c>
      <c r="E18" s="71">
        <v>970.8737864077669</v>
      </c>
      <c r="F18" s="72">
        <v>0.000343</v>
      </c>
      <c r="G18" s="72">
        <v>3.5329E-07</v>
      </c>
      <c r="H18" s="73">
        <v>1.6459395094070018E-07</v>
      </c>
      <c r="I18" s="74">
        <v>0.5102191251968057</v>
      </c>
      <c r="J18" s="43"/>
      <c r="K18" s="43"/>
      <c r="L18" s="43"/>
      <c r="M18" s="43"/>
      <c r="N18" s="43"/>
      <c r="O18" s="43"/>
      <c r="P18" s="43"/>
      <c r="Q18" s="43"/>
    </row>
    <row r="19" spans="1:17" ht="12.75">
      <c r="A19" s="68">
        <v>86.85</v>
      </c>
      <c r="B19" s="69">
        <v>0.674</v>
      </c>
      <c r="C19" s="70">
        <v>4.203</v>
      </c>
      <c r="D19" s="70">
        <v>2.02</v>
      </c>
      <c r="E19" s="71">
        <v>967.1179883945841</v>
      </c>
      <c r="F19" s="72">
        <v>0.000324</v>
      </c>
      <c r="G19" s="72">
        <v>3.3501600000000004E-07</v>
      </c>
      <c r="H19" s="73">
        <v>1.6581394242207946E-07</v>
      </c>
      <c r="I19" s="74">
        <v>0.6212661825396458</v>
      </c>
      <c r="J19" s="43"/>
      <c r="K19" s="43"/>
      <c r="L19" s="43"/>
      <c r="M19" s="43"/>
      <c r="N19" s="43"/>
      <c r="O19" s="43"/>
      <c r="P19" s="43"/>
      <c r="Q19" s="43"/>
    </row>
    <row r="20" spans="1:17" ht="12.75">
      <c r="A20" s="68">
        <v>91.85</v>
      </c>
      <c r="B20" s="69">
        <v>0.677</v>
      </c>
      <c r="C20" s="70">
        <v>4.209</v>
      </c>
      <c r="D20" s="70">
        <v>1.91</v>
      </c>
      <c r="E20" s="71">
        <v>963.3911368015414</v>
      </c>
      <c r="F20" s="72">
        <v>0.000306</v>
      </c>
      <c r="G20" s="72">
        <v>3.17628E-07</v>
      </c>
      <c r="H20" s="73">
        <v>1.669579472558803E-07</v>
      </c>
      <c r="I20" s="74">
        <v>0.7518304417299169</v>
      </c>
      <c r="J20" s="43"/>
      <c r="K20" s="43"/>
      <c r="L20" s="43"/>
      <c r="M20" s="43"/>
      <c r="N20" s="43"/>
      <c r="O20" s="43"/>
      <c r="P20" s="43"/>
      <c r="Q20" s="43"/>
    </row>
    <row r="21" spans="1:17" ht="12.75">
      <c r="A21" s="68">
        <v>96.85</v>
      </c>
      <c r="B21" s="69">
        <v>0.679</v>
      </c>
      <c r="C21" s="70">
        <v>4.214</v>
      </c>
      <c r="D21" s="70">
        <v>1.8</v>
      </c>
      <c r="E21" s="71">
        <v>960.6147934678196</v>
      </c>
      <c r="F21" s="72">
        <v>0.000289</v>
      </c>
      <c r="G21" s="72">
        <v>3.008489999999999E-07</v>
      </c>
      <c r="H21" s="73">
        <v>1.6773588039867107E-07</v>
      </c>
      <c r="I21" s="74">
        <v>0.9044876886863782</v>
      </c>
      <c r="J21" s="43"/>
      <c r="K21" s="43"/>
      <c r="L21" s="43"/>
      <c r="M21" s="43"/>
      <c r="N21" s="43"/>
      <c r="O21" s="43"/>
      <c r="P21" s="43"/>
      <c r="Q21" s="43"/>
    </row>
    <row r="22" spans="1:17" ht="13.5" thickBot="1">
      <c r="A22" s="111">
        <v>100</v>
      </c>
      <c r="B22" s="112">
        <v>0.68</v>
      </c>
      <c r="C22" s="113">
        <v>4.217</v>
      </c>
      <c r="D22" s="113">
        <v>1.76</v>
      </c>
      <c r="E22" s="114">
        <v>957.8544061302682</v>
      </c>
      <c r="F22" s="115">
        <v>0.000279</v>
      </c>
      <c r="G22" s="115">
        <v>2.91276E-07</v>
      </c>
      <c r="H22" s="116">
        <v>1.6834716623191845E-07</v>
      </c>
      <c r="I22" s="117">
        <v>1.013252619713624</v>
      </c>
      <c r="J22" s="43"/>
      <c r="K22" s="43"/>
      <c r="L22" s="43"/>
      <c r="M22" s="43"/>
      <c r="N22" s="43"/>
      <c r="O22" s="43"/>
      <c r="P22" s="43"/>
      <c r="Q22" s="43"/>
    </row>
    <row r="23" spans="1:17" ht="13.5" thickBot="1">
      <c r="A23" s="118"/>
      <c r="B23" s="118"/>
      <c r="C23" s="118"/>
      <c r="D23" s="118"/>
      <c r="E23" s="119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</row>
    <row r="24" spans="1:17" ht="15">
      <c r="A24" s="120" t="s">
        <v>152</v>
      </c>
      <c r="B24" s="121" t="s">
        <v>153</v>
      </c>
      <c r="C24" s="121" t="s">
        <v>154</v>
      </c>
      <c r="D24" s="121" t="s">
        <v>155</v>
      </c>
      <c r="E24" s="122" t="s">
        <v>156</v>
      </c>
      <c r="F24" s="122" t="s">
        <v>157</v>
      </c>
      <c r="G24" s="122" t="s">
        <v>158</v>
      </c>
      <c r="H24" s="123" t="s">
        <v>159</v>
      </c>
      <c r="I24" s="124" t="s">
        <v>76</v>
      </c>
      <c r="J24" s="43"/>
      <c r="K24" s="43"/>
      <c r="L24" s="43"/>
      <c r="M24" s="43"/>
      <c r="N24" s="43"/>
      <c r="O24" s="43"/>
      <c r="P24" s="43"/>
      <c r="Q24" s="43"/>
    </row>
    <row r="25" spans="1:17" ht="15">
      <c r="A25" s="125" t="s">
        <v>124</v>
      </c>
      <c r="B25" s="126" t="s">
        <v>135</v>
      </c>
      <c r="C25" s="126" t="s">
        <v>160</v>
      </c>
      <c r="D25" s="126" t="s">
        <v>123</v>
      </c>
      <c r="E25" s="126" t="s">
        <v>161</v>
      </c>
      <c r="F25" s="126" t="s">
        <v>162</v>
      </c>
      <c r="G25" s="126" t="s">
        <v>163</v>
      </c>
      <c r="H25" s="127" t="s">
        <v>163</v>
      </c>
      <c r="I25" s="128" t="s">
        <v>5</v>
      </c>
      <c r="J25" s="43" t="s">
        <v>126</v>
      </c>
      <c r="K25" s="43"/>
      <c r="L25" s="43"/>
      <c r="M25" s="43"/>
      <c r="N25" s="43"/>
      <c r="O25" s="43"/>
      <c r="P25" s="43"/>
      <c r="Q25" s="43"/>
    </row>
    <row r="26" spans="1:17" ht="12.75">
      <c r="A26" s="129"/>
      <c r="B26" s="60"/>
      <c r="C26" s="60"/>
      <c r="D26" s="60"/>
      <c r="E26" s="60"/>
      <c r="F26" s="60"/>
      <c r="G26" s="60"/>
      <c r="H26" s="60"/>
      <c r="I26" s="130"/>
      <c r="J26" s="43"/>
      <c r="K26" s="43"/>
      <c r="L26" s="43"/>
      <c r="M26" s="43"/>
      <c r="N26" s="43"/>
      <c r="O26" s="43"/>
      <c r="P26" s="43"/>
      <c r="Q26" s="43"/>
    </row>
    <row r="27" spans="1:17" ht="13.5" thickBot="1">
      <c r="A27" s="131" t="s">
        <v>164</v>
      </c>
      <c r="B27" s="132"/>
      <c r="C27" s="132"/>
      <c r="D27" s="132"/>
      <c r="E27" s="132"/>
      <c r="F27" s="132"/>
      <c r="G27" s="132"/>
      <c r="H27" s="132"/>
      <c r="I27" s="133"/>
      <c r="J27" s="43"/>
      <c r="K27" s="43"/>
      <c r="L27" s="43"/>
      <c r="M27" s="43"/>
      <c r="N27" s="43"/>
      <c r="O27" s="43"/>
      <c r="P27" s="43"/>
      <c r="Q27" s="43"/>
    </row>
    <row r="28" spans="1:17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ht="12.75">
      <c r="A29" s="60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3:F31"/>
  <sheetViews>
    <sheetView zoomScalePageLayoutView="0" workbookViewId="0" topLeftCell="A1">
      <selection activeCell="C3" sqref="C3:F3"/>
    </sheetView>
  </sheetViews>
  <sheetFormatPr defaultColWidth="11.421875" defaultRowHeight="12.75"/>
  <cols>
    <col min="1" max="1" width="18.57421875" style="0" customWidth="1"/>
  </cols>
  <sheetData>
    <row r="3" spans="3:6" ht="12.75">
      <c r="C3" s="257" t="s">
        <v>84</v>
      </c>
      <c r="D3" s="257"/>
      <c r="E3" s="257"/>
      <c r="F3" s="257"/>
    </row>
    <row r="6" ht="12.75">
      <c r="A6" t="s">
        <v>85</v>
      </c>
    </row>
    <row r="8" spans="1:2" ht="13.5" thickBot="1">
      <c r="A8" s="1" t="s">
        <v>86</v>
      </c>
      <c r="B8" s="18"/>
    </row>
    <row r="9" spans="1:3" ht="13.5" thickBot="1">
      <c r="A9" t="s">
        <v>16</v>
      </c>
      <c r="B9" s="20">
        <v>1.013</v>
      </c>
      <c r="C9" t="s">
        <v>99</v>
      </c>
    </row>
    <row r="10" spans="1:3" ht="13.5" thickBot="1">
      <c r="A10" t="s">
        <v>0</v>
      </c>
      <c r="B10" s="21">
        <v>36</v>
      </c>
      <c r="C10" t="s">
        <v>1</v>
      </c>
    </row>
    <row r="11" spans="1:3" ht="13.5" thickBot="1">
      <c r="A11" t="s">
        <v>7</v>
      </c>
      <c r="B11" s="22">
        <v>20</v>
      </c>
      <c r="C11" t="s">
        <v>8</v>
      </c>
    </row>
    <row r="12" ht="12.75">
      <c r="B12" s="18"/>
    </row>
    <row r="13" spans="1:2" ht="13.5" thickBot="1">
      <c r="A13" s="1" t="s">
        <v>87</v>
      </c>
      <c r="B13" s="18"/>
    </row>
    <row r="14" spans="1:3" ht="13.5" thickBot="1">
      <c r="A14" t="s">
        <v>16</v>
      </c>
      <c r="B14" s="20">
        <v>1</v>
      </c>
      <c r="C14" t="s">
        <v>99</v>
      </c>
    </row>
    <row r="15" spans="1:3" ht="13.5" thickBot="1">
      <c r="A15" t="s">
        <v>0</v>
      </c>
      <c r="B15" s="21">
        <v>0</v>
      </c>
      <c r="C15" t="s">
        <v>1</v>
      </c>
    </row>
    <row r="16" spans="1:3" ht="13.5" thickBot="1">
      <c r="A16" t="s">
        <v>7</v>
      </c>
      <c r="B16" s="22">
        <v>20</v>
      </c>
      <c r="C16" t="s">
        <v>8</v>
      </c>
    </row>
    <row r="17" ht="12.75">
      <c r="B17" s="18"/>
    </row>
    <row r="18" spans="1:2" ht="13.5" thickBot="1">
      <c r="A18" s="1" t="s">
        <v>88</v>
      </c>
      <c r="B18" s="18"/>
    </row>
    <row r="19" spans="1:3" ht="13.5" thickBot="1">
      <c r="A19" t="s">
        <v>16</v>
      </c>
      <c r="B19" s="20">
        <v>1.013</v>
      </c>
      <c r="C19" t="s">
        <v>99</v>
      </c>
    </row>
    <row r="20" spans="1:3" ht="13.5" thickBot="1">
      <c r="A20" t="s">
        <v>0</v>
      </c>
      <c r="B20" s="21">
        <v>0</v>
      </c>
      <c r="C20" t="s">
        <v>1</v>
      </c>
    </row>
    <row r="21" spans="1:3" ht="13.5" thickBot="1">
      <c r="A21" t="s">
        <v>7</v>
      </c>
      <c r="B21" s="22">
        <v>21.11</v>
      </c>
      <c r="C21" t="s">
        <v>8</v>
      </c>
    </row>
    <row r="22" ht="12.75">
      <c r="B22" s="18"/>
    </row>
    <row r="23" spans="1:2" ht="13.5" thickBot="1">
      <c r="A23" s="1" t="s">
        <v>89</v>
      </c>
      <c r="B23" s="18"/>
    </row>
    <row r="24" spans="1:3" ht="13.5" thickBot="1">
      <c r="A24" t="s">
        <v>16</v>
      </c>
      <c r="B24" s="20">
        <v>1.013</v>
      </c>
      <c r="C24" t="s">
        <v>99</v>
      </c>
    </row>
    <row r="25" spans="1:3" ht="13.5" thickBot="1">
      <c r="A25" t="s">
        <v>0</v>
      </c>
      <c r="B25" s="21">
        <v>0</v>
      </c>
      <c r="C25" t="s">
        <v>1</v>
      </c>
    </row>
    <row r="26" spans="1:3" ht="13.5" thickBot="1">
      <c r="A26" t="s">
        <v>7</v>
      </c>
      <c r="B26" s="22">
        <v>15.56</v>
      </c>
      <c r="C26" t="s">
        <v>8</v>
      </c>
    </row>
    <row r="27" ht="12.75">
      <c r="B27" s="18"/>
    </row>
    <row r="28" spans="1:2" ht="12.75">
      <c r="A28" t="s">
        <v>97</v>
      </c>
      <c r="B28" s="18"/>
    </row>
    <row r="29" spans="1:2" ht="12.75">
      <c r="A29" t="s">
        <v>98</v>
      </c>
      <c r="B29" s="18"/>
    </row>
    <row r="30" ht="12.75">
      <c r="B30" s="18"/>
    </row>
    <row r="31" ht="12.75">
      <c r="B31" s="18"/>
    </row>
  </sheetData>
  <sheetProtection password="CC06" sheet="1" objects="1" scenarios="1"/>
  <mergeCells count="1">
    <mergeCell ref="C3:F3"/>
  </mergeCells>
  <hyperlinks>
    <hyperlink ref="C3" location="Hoja1!A1" display="CLICK AQUÍ PARA VOLVER A MENÚ PRINCIPAL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3:F24"/>
  <sheetViews>
    <sheetView zoomScalePageLayoutView="0" workbookViewId="0" topLeftCell="A1">
      <selection activeCell="C3" sqref="C3:F3"/>
    </sheetView>
  </sheetViews>
  <sheetFormatPr defaultColWidth="11.421875" defaultRowHeight="12.75"/>
  <cols>
    <col min="1" max="1" width="18.57421875" style="0" customWidth="1"/>
  </cols>
  <sheetData>
    <row r="3" spans="3:6" ht="12.75">
      <c r="C3" s="258" t="s">
        <v>84</v>
      </c>
      <c r="D3" s="258"/>
      <c r="E3" s="258"/>
      <c r="F3" s="258"/>
    </row>
    <row r="5" ht="12.75">
      <c r="B5" s="18"/>
    </row>
    <row r="6" spans="1:2" ht="12.75">
      <c r="A6" t="s">
        <v>83</v>
      </c>
      <c r="B6" s="18"/>
    </row>
    <row r="7" ht="12.75">
      <c r="B7" s="18"/>
    </row>
    <row r="8" spans="1:2" ht="13.5" thickBot="1">
      <c r="A8" s="1" t="s">
        <v>15</v>
      </c>
      <c r="B8" s="18"/>
    </row>
    <row r="9" spans="1:3" ht="13.5" thickBot="1">
      <c r="A9" t="s">
        <v>16</v>
      </c>
      <c r="B9" s="20">
        <v>1.013</v>
      </c>
      <c r="C9" t="s">
        <v>99</v>
      </c>
    </row>
    <row r="10" spans="1:3" ht="13.5" thickBot="1">
      <c r="A10" t="s">
        <v>0</v>
      </c>
      <c r="B10" s="21">
        <v>0</v>
      </c>
      <c r="C10" t="s">
        <v>1</v>
      </c>
    </row>
    <row r="11" spans="1:3" ht="13.5" thickBot="1">
      <c r="A11" t="s">
        <v>7</v>
      </c>
      <c r="B11" s="22">
        <v>0</v>
      </c>
      <c r="C11" t="s">
        <v>8</v>
      </c>
    </row>
    <row r="12" ht="12.75">
      <c r="B12" s="18"/>
    </row>
    <row r="13" spans="1:2" ht="12.75">
      <c r="A13" t="s">
        <v>97</v>
      </c>
      <c r="B13" s="18"/>
    </row>
    <row r="14" spans="1:2" ht="12.75">
      <c r="A14" t="s">
        <v>98</v>
      </c>
      <c r="B14" s="18"/>
    </row>
    <row r="15" ht="12.75">
      <c r="B15" s="18"/>
    </row>
    <row r="16" ht="12.75">
      <c r="B16" s="18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</sheetData>
  <sheetProtection password="CC06" sheet="1" objects="1" scenarios="1"/>
  <mergeCells count="1">
    <mergeCell ref="C3:F3"/>
  </mergeCells>
  <hyperlinks>
    <hyperlink ref="C3" location="Hoja1!A1" display="CLICK AQUÍ PARA VOLVER A MENÚ PRINCIPAL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rgb="FF00B0F0"/>
  </sheetPr>
  <dimension ref="B2:S18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5.7109375" style="156" customWidth="1"/>
    <col min="3" max="3" width="11.28125" style="156" customWidth="1"/>
    <col min="4" max="4" width="9.28125" style="156" bestFit="1" customWidth="1"/>
    <col min="5" max="9" width="8.8515625" style="156" customWidth="1"/>
    <col min="10" max="10" width="10.8515625" style="156" customWidth="1"/>
    <col min="11" max="11" width="10.421875" style="156" customWidth="1"/>
    <col min="12" max="17" width="8.8515625" style="156" customWidth="1"/>
    <col min="18" max="18" width="10.57421875" style="156" bestFit="1" customWidth="1"/>
    <col min="19" max="19" width="12.00390625" style="156" customWidth="1"/>
    <col min="20" max="16384" width="8.8515625" style="156" customWidth="1"/>
  </cols>
  <sheetData>
    <row r="2" ht="15">
      <c r="C2" s="157" t="s">
        <v>294</v>
      </c>
    </row>
    <row r="4" ht="15">
      <c r="C4" s="156" t="s">
        <v>281</v>
      </c>
    </row>
    <row r="5" ht="15">
      <c r="C5" s="156" t="s">
        <v>282</v>
      </c>
    </row>
    <row r="6" ht="15" thickBot="1"/>
    <row r="7" spans="3:10" ht="18.75" thickTop="1">
      <c r="C7" s="176" t="s">
        <v>306</v>
      </c>
      <c r="D7" s="148" t="s">
        <v>259</v>
      </c>
      <c r="E7" s="159"/>
      <c r="F7" s="159"/>
      <c r="G7" s="159"/>
      <c r="H7" s="160"/>
      <c r="J7" s="156" t="s">
        <v>284</v>
      </c>
    </row>
    <row r="8" spans="3:10" ht="15">
      <c r="C8" s="179"/>
      <c r="D8" s="42"/>
      <c r="E8" s="42"/>
      <c r="F8" s="42"/>
      <c r="G8" s="42"/>
      <c r="H8" s="163"/>
      <c r="J8" s="156" t="s">
        <v>285</v>
      </c>
    </row>
    <row r="9" spans="3:10" ht="18">
      <c r="C9" s="181" t="s">
        <v>307</v>
      </c>
      <c r="D9" s="182"/>
      <c r="E9" s="182"/>
      <c r="F9" s="182"/>
      <c r="G9" s="183" t="s">
        <v>308</v>
      </c>
      <c r="H9" s="184"/>
      <c r="J9" s="156" t="s">
        <v>286</v>
      </c>
    </row>
    <row r="10" spans="3:8" ht="15">
      <c r="C10" s="179" t="s">
        <v>361</v>
      </c>
      <c r="D10" s="42"/>
      <c r="E10" s="42"/>
      <c r="F10" s="42"/>
      <c r="G10" s="42"/>
      <c r="H10" s="163"/>
    </row>
    <row r="11" spans="3:10" ht="15">
      <c r="C11" s="179"/>
      <c r="D11" s="42"/>
      <c r="E11" s="42"/>
      <c r="F11" s="42"/>
      <c r="G11" s="42"/>
      <c r="H11" s="163"/>
      <c r="J11" s="207" t="s">
        <v>287</v>
      </c>
    </row>
    <row r="12" spans="3:10" ht="15">
      <c r="C12" s="232" t="s">
        <v>301</v>
      </c>
      <c r="D12" s="42"/>
      <c r="E12" s="42"/>
      <c r="F12" s="42" t="s">
        <v>378</v>
      </c>
      <c r="G12" s="42"/>
      <c r="H12" s="163"/>
      <c r="J12" s="156" t="s">
        <v>288</v>
      </c>
    </row>
    <row r="13" spans="3:10" ht="15">
      <c r="C13" s="233" t="s">
        <v>255</v>
      </c>
      <c r="D13" s="171">
        <v>2</v>
      </c>
      <c r="E13" s="169" t="s">
        <v>5</v>
      </c>
      <c r="F13" s="42"/>
      <c r="G13" s="42"/>
      <c r="H13" s="163"/>
      <c r="J13" s="156" t="s">
        <v>290</v>
      </c>
    </row>
    <row r="14" spans="3:10" ht="15">
      <c r="C14" s="233" t="s">
        <v>256</v>
      </c>
      <c r="D14" s="171">
        <v>5</v>
      </c>
      <c r="E14" s="169" t="s">
        <v>124</v>
      </c>
      <c r="F14" s="42"/>
      <c r="G14" s="42"/>
      <c r="H14" s="163"/>
      <c r="J14" s="156" t="s">
        <v>289</v>
      </c>
    </row>
    <row r="15" spans="3:10" ht="18">
      <c r="C15" s="233" t="s">
        <v>257</v>
      </c>
      <c r="D15" s="171">
        <v>24</v>
      </c>
      <c r="E15" s="42" t="s">
        <v>1</v>
      </c>
      <c r="F15" s="42"/>
      <c r="G15" s="42"/>
      <c r="H15" s="163"/>
      <c r="J15" s="156" t="s">
        <v>317</v>
      </c>
    </row>
    <row r="16" spans="3:10" ht="15">
      <c r="C16" s="179"/>
      <c r="D16" s="42"/>
      <c r="E16" s="42"/>
      <c r="F16" s="42"/>
      <c r="G16" s="42" t="s">
        <v>117</v>
      </c>
      <c r="H16" s="163"/>
      <c r="J16" s="156" t="s">
        <v>291</v>
      </c>
    </row>
    <row r="17" spans="3:8" ht="15">
      <c r="C17" s="179" t="s">
        <v>362</v>
      </c>
      <c r="D17" s="42"/>
      <c r="E17" s="42"/>
      <c r="F17" s="42"/>
      <c r="G17" s="42"/>
      <c r="H17" s="163"/>
    </row>
    <row r="18" spans="3:10" ht="18">
      <c r="C18" s="195" t="s">
        <v>302</v>
      </c>
      <c r="D18" s="42"/>
      <c r="E18" s="42"/>
      <c r="F18" s="42"/>
      <c r="G18" s="42"/>
      <c r="H18" s="163"/>
      <c r="J18" s="156" t="s">
        <v>321</v>
      </c>
    </row>
    <row r="19" spans="3:10" ht="17.25">
      <c r="C19" s="196" t="s">
        <v>258</v>
      </c>
      <c r="D19" s="171">
        <v>480</v>
      </c>
      <c r="E19" s="169" t="s">
        <v>308</v>
      </c>
      <c r="F19" s="42"/>
      <c r="G19" s="42"/>
      <c r="H19" s="163"/>
      <c r="J19" s="156" t="s">
        <v>292</v>
      </c>
    </row>
    <row r="20" spans="3:8" ht="15">
      <c r="C20" s="179"/>
      <c r="D20" s="42"/>
      <c r="E20" s="42"/>
      <c r="F20" s="42"/>
      <c r="G20" s="42"/>
      <c r="H20" s="163"/>
    </row>
    <row r="21" spans="3:8" ht="15">
      <c r="C21" s="179" t="s">
        <v>363</v>
      </c>
      <c r="D21" s="42"/>
      <c r="E21" s="42"/>
      <c r="F21" s="42"/>
      <c r="G21" s="42"/>
      <c r="H21" s="163"/>
    </row>
    <row r="22" spans="3:8" ht="15">
      <c r="C22" s="197" t="s">
        <v>303</v>
      </c>
      <c r="D22" s="42"/>
      <c r="E22" s="42"/>
      <c r="F22" s="42"/>
      <c r="G22" s="42"/>
      <c r="H22" s="163"/>
    </row>
    <row r="23" spans="3:8" ht="15">
      <c r="C23" s="179" t="s">
        <v>364</v>
      </c>
      <c r="D23" s="42"/>
      <c r="E23" s="42"/>
      <c r="F23" s="42"/>
      <c r="G23" s="42"/>
      <c r="H23" s="163"/>
    </row>
    <row r="24" spans="3:8" ht="18">
      <c r="C24" s="196" t="s">
        <v>306</v>
      </c>
      <c r="D24" s="198">
        <f>FADtoNORMAL(D13,D14,D15,D19)</f>
        <v>258.24174938845744</v>
      </c>
      <c r="E24" s="42" t="s">
        <v>31</v>
      </c>
      <c r="F24" s="42" t="s">
        <v>365</v>
      </c>
      <c r="G24" s="42"/>
      <c r="H24" s="163"/>
    </row>
    <row r="25" spans="3:8" ht="15" thickBot="1">
      <c r="C25" s="199"/>
      <c r="D25" s="200"/>
      <c r="E25" s="200"/>
      <c r="F25" s="200"/>
      <c r="G25" s="200"/>
      <c r="H25" s="201"/>
    </row>
    <row r="26" ht="15" thickTop="1"/>
    <row r="40" ht="15">
      <c r="B40" s="42"/>
    </row>
    <row r="41" ht="15">
      <c r="B41" s="42"/>
    </row>
    <row r="42" ht="15">
      <c r="B42" s="42"/>
    </row>
    <row r="43" ht="15">
      <c r="B43" s="42"/>
    </row>
    <row r="44" ht="15">
      <c r="B44" s="42"/>
    </row>
    <row r="45" ht="15">
      <c r="B45" s="42"/>
    </row>
    <row r="46" ht="15">
      <c r="B46" s="42"/>
    </row>
    <row r="47" ht="15">
      <c r="B47" s="42"/>
    </row>
    <row r="48" ht="15">
      <c r="B48" s="42"/>
    </row>
    <row r="49" ht="15">
      <c r="B49" s="42"/>
    </row>
    <row r="50" ht="15">
      <c r="B50" s="42"/>
    </row>
    <row r="51" ht="15">
      <c r="B51" s="42"/>
    </row>
    <row r="52" ht="15">
      <c r="B52" s="42"/>
    </row>
    <row r="53" ht="15">
      <c r="B53" s="42"/>
    </row>
    <row r="54" ht="15">
      <c r="B54" s="42"/>
    </row>
    <row r="55" ht="15">
      <c r="B55" s="42"/>
    </row>
    <row r="56" ht="15">
      <c r="B56" s="42"/>
    </row>
    <row r="57" ht="15">
      <c r="B57" s="42"/>
    </row>
    <row r="58" ht="15">
      <c r="B58" s="42"/>
    </row>
    <row r="59" ht="15">
      <c r="B59" s="42"/>
    </row>
    <row r="60" ht="15">
      <c r="B60" s="42"/>
    </row>
    <row r="61" ht="15">
      <c r="B61" s="42"/>
    </row>
    <row r="62" ht="15">
      <c r="B62" s="42"/>
    </row>
    <row r="63" ht="15">
      <c r="B63" s="42"/>
    </row>
    <row r="64" ht="15">
      <c r="B64" s="42"/>
    </row>
    <row r="65" ht="15">
      <c r="B65" s="42"/>
    </row>
    <row r="66" ht="15">
      <c r="B66" s="42"/>
    </row>
    <row r="67" ht="15">
      <c r="B67" s="42"/>
    </row>
    <row r="68" ht="15">
      <c r="B68" s="42"/>
    </row>
    <row r="69" ht="15">
      <c r="B69" s="42"/>
    </row>
    <row r="70" ht="15">
      <c r="B70" s="42"/>
    </row>
    <row r="71" ht="15">
      <c r="B71" s="42"/>
    </row>
    <row r="72" ht="15">
      <c r="B72" s="42"/>
    </row>
    <row r="73" ht="15">
      <c r="B73" s="42"/>
    </row>
    <row r="74" ht="15">
      <c r="B74" s="42"/>
    </row>
    <row r="75" ht="15">
      <c r="B75" s="42"/>
    </row>
    <row r="76" ht="15">
      <c r="B76" s="42"/>
    </row>
    <row r="77" ht="15">
      <c r="B77" s="42"/>
    </row>
    <row r="78" ht="15">
      <c r="B78" s="42"/>
    </row>
    <row r="79" ht="15">
      <c r="B79" s="42"/>
    </row>
    <row r="80" ht="15">
      <c r="B80" s="42"/>
    </row>
    <row r="81" ht="15">
      <c r="B81" s="42"/>
    </row>
    <row r="82" ht="15">
      <c r="B82" s="42"/>
    </row>
    <row r="83" ht="15">
      <c r="B83" s="42"/>
    </row>
    <row r="84" ht="15">
      <c r="B84" s="42"/>
    </row>
    <row r="85" ht="15">
      <c r="B85" s="42"/>
    </row>
    <row r="86" ht="15">
      <c r="B86" s="42"/>
    </row>
    <row r="87" ht="15">
      <c r="B87" s="42"/>
    </row>
    <row r="88" ht="15">
      <c r="B88" s="42"/>
    </row>
    <row r="89" ht="15">
      <c r="B89" s="42"/>
    </row>
    <row r="90" ht="15">
      <c r="B90" s="42"/>
    </row>
    <row r="91" ht="15">
      <c r="B91" s="42"/>
    </row>
    <row r="92" ht="15">
      <c r="B92" s="42"/>
    </row>
    <row r="93" spans="2:15" ht="15">
      <c r="B93" s="42"/>
      <c r="J93" s="42"/>
      <c r="K93" s="42"/>
      <c r="L93" s="42"/>
      <c r="M93" s="42"/>
      <c r="N93" s="42"/>
      <c r="O93" s="42"/>
    </row>
    <row r="94" spans="2:15" ht="15">
      <c r="B94" s="42"/>
      <c r="J94" s="42"/>
      <c r="K94" s="42"/>
      <c r="L94" s="42"/>
      <c r="M94" s="42"/>
      <c r="N94" s="42"/>
      <c r="O94" s="42"/>
    </row>
    <row r="95" ht="15">
      <c r="B95" s="42"/>
    </row>
    <row r="96" ht="15">
      <c r="B96" s="42"/>
    </row>
    <row r="97" ht="15">
      <c r="B97" s="42"/>
    </row>
    <row r="98" ht="15">
      <c r="B98" s="42"/>
    </row>
    <row r="99" ht="15">
      <c r="B99" s="42"/>
    </row>
    <row r="100" ht="15">
      <c r="B100" s="42"/>
    </row>
    <row r="101" ht="15">
      <c r="B101" s="42"/>
    </row>
    <row r="102" spans="2:15" ht="15">
      <c r="B102" s="42"/>
      <c r="J102" s="42"/>
      <c r="K102" s="42"/>
      <c r="L102" s="42"/>
      <c r="M102" s="42"/>
      <c r="N102" s="42"/>
      <c r="O102" s="42"/>
    </row>
    <row r="103" spans="2:15" ht="15">
      <c r="B103" s="42"/>
      <c r="J103" s="42"/>
      <c r="K103" s="42"/>
      <c r="L103" s="42"/>
      <c r="M103" s="42"/>
      <c r="N103" s="42"/>
      <c r="O103" s="42"/>
    </row>
    <row r="104" spans="2:15" ht="15">
      <c r="B104" s="42"/>
      <c r="J104" s="42"/>
      <c r="K104" s="42"/>
      <c r="L104" s="42"/>
      <c r="M104" s="42"/>
      <c r="N104" s="42"/>
      <c r="O104" s="42"/>
    </row>
    <row r="105" spans="2:15" ht="15">
      <c r="B105" s="42"/>
      <c r="J105" s="42"/>
      <c r="K105" s="42"/>
      <c r="L105" s="42"/>
      <c r="M105" s="42"/>
      <c r="N105" s="42"/>
      <c r="O105" s="42"/>
    </row>
    <row r="106" spans="2:15" ht="15">
      <c r="B106" s="42"/>
      <c r="J106" s="42"/>
      <c r="K106" s="42"/>
      <c r="L106" s="42"/>
      <c r="M106" s="42"/>
      <c r="N106" s="42"/>
      <c r="O106" s="42"/>
    </row>
    <row r="107" spans="2:15" ht="15">
      <c r="B107" s="42"/>
      <c r="J107" s="42"/>
      <c r="K107" s="42"/>
      <c r="L107" s="42"/>
      <c r="M107" s="42"/>
      <c r="N107" s="42"/>
      <c r="O107" s="42"/>
    </row>
    <row r="108" spans="2:15" ht="15">
      <c r="B108" s="42"/>
      <c r="J108" s="42"/>
      <c r="K108" s="42"/>
      <c r="L108" s="42"/>
      <c r="M108" s="42"/>
      <c r="N108" s="42"/>
      <c r="O108" s="42"/>
    </row>
    <row r="109" spans="2:15" ht="15">
      <c r="B109" s="42"/>
      <c r="J109" s="42"/>
      <c r="K109" s="42"/>
      <c r="L109" s="42"/>
      <c r="M109" s="42"/>
      <c r="N109" s="42"/>
      <c r="O109" s="42"/>
    </row>
    <row r="110" spans="2:15" ht="15">
      <c r="B110" s="42"/>
      <c r="J110" s="42"/>
      <c r="K110" s="42"/>
      <c r="L110" s="42"/>
      <c r="M110" s="42"/>
      <c r="N110" s="42"/>
      <c r="O110" s="42"/>
    </row>
    <row r="111" spans="2:15" ht="15">
      <c r="B111" s="42"/>
      <c r="J111" s="42"/>
      <c r="K111" s="42"/>
      <c r="L111" s="42"/>
      <c r="M111" s="42"/>
      <c r="N111" s="42"/>
      <c r="O111" s="42"/>
    </row>
    <row r="112" spans="2:15" ht="15">
      <c r="B112" s="42"/>
      <c r="J112" s="42"/>
      <c r="K112" s="42"/>
      <c r="L112" s="42"/>
      <c r="M112" s="42"/>
      <c r="N112" s="42"/>
      <c r="O112" s="42"/>
    </row>
    <row r="113" spans="2:15" ht="15">
      <c r="B113" s="42"/>
      <c r="J113" s="42"/>
      <c r="K113" s="42"/>
      <c r="L113" s="42"/>
      <c r="M113" s="42"/>
      <c r="N113" s="42"/>
      <c r="O113" s="42"/>
    </row>
    <row r="114" spans="2:15" ht="15">
      <c r="B114" s="42"/>
      <c r="J114" s="42"/>
      <c r="K114" s="42"/>
      <c r="L114" s="42"/>
      <c r="M114" s="42"/>
      <c r="N114" s="42"/>
      <c r="O114" s="42"/>
    </row>
    <row r="115" spans="2:15" ht="15">
      <c r="B115" s="42"/>
      <c r="J115" s="42"/>
      <c r="K115" s="42"/>
      <c r="L115" s="42"/>
      <c r="M115" s="42"/>
      <c r="N115" s="42"/>
      <c r="O115" s="42"/>
    </row>
    <row r="116" spans="2:15" ht="15">
      <c r="B116" s="42"/>
      <c r="J116" s="42"/>
      <c r="K116" s="42"/>
      <c r="L116" s="42"/>
      <c r="M116" s="42"/>
      <c r="N116" s="42"/>
      <c r="O116" s="42"/>
    </row>
    <row r="117" spans="2:15" ht="15">
      <c r="B117" s="42"/>
      <c r="J117" s="42"/>
      <c r="K117" s="42"/>
      <c r="L117" s="42"/>
      <c r="M117" s="42"/>
      <c r="N117" s="42"/>
      <c r="O117" s="42"/>
    </row>
    <row r="118" spans="2:15" ht="15">
      <c r="B118" s="42"/>
      <c r="J118" s="42"/>
      <c r="K118" s="42"/>
      <c r="L118" s="42"/>
      <c r="M118" s="42"/>
      <c r="N118" s="42"/>
      <c r="O118" s="42"/>
    </row>
    <row r="119" spans="10:15" ht="15">
      <c r="J119" s="42"/>
      <c r="K119" s="42"/>
      <c r="L119" s="42"/>
      <c r="M119" s="42"/>
      <c r="N119" s="42"/>
      <c r="O119" s="42"/>
    </row>
    <row r="120" spans="10:15" ht="15">
      <c r="J120" s="42"/>
      <c r="K120" s="42"/>
      <c r="L120" s="42"/>
      <c r="M120" s="42"/>
      <c r="N120" s="42"/>
      <c r="O120" s="42"/>
    </row>
    <row r="121" spans="10:15" ht="15">
      <c r="J121" s="42"/>
      <c r="K121" s="42"/>
      <c r="L121" s="42"/>
      <c r="M121" s="42"/>
      <c r="N121" s="42"/>
      <c r="O121" s="42"/>
    </row>
    <row r="122" spans="10:15" ht="15">
      <c r="J122" s="42"/>
      <c r="K122" s="42"/>
      <c r="L122" s="42"/>
      <c r="M122" s="42"/>
      <c r="N122" s="42"/>
      <c r="O122" s="42"/>
    </row>
    <row r="123" spans="10:15" ht="15">
      <c r="J123" s="42"/>
      <c r="K123" s="42"/>
      <c r="L123" s="42"/>
      <c r="M123" s="42"/>
      <c r="N123" s="42"/>
      <c r="O123" s="42"/>
    </row>
    <row r="124" spans="10:15" ht="15">
      <c r="J124" s="42"/>
      <c r="K124" s="42"/>
      <c r="L124" s="42"/>
      <c r="M124" s="42"/>
      <c r="N124" s="42"/>
      <c r="O124" s="42"/>
    </row>
    <row r="125" spans="10:15" ht="15">
      <c r="J125" s="42"/>
      <c r="K125" s="42"/>
      <c r="L125" s="42"/>
      <c r="M125" s="42"/>
      <c r="N125" s="42"/>
      <c r="O125" s="42"/>
    </row>
    <row r="126" spans="10:15" ht="15">
      <c r="J126" s="42"/>
      <c r="K126" s="42"/>
      <c r="L126" s="42"/>
      <c r="M126" s="42"/>
      <c r="N126" s="42"/>
      <c r="O126" s="42"/>
    </row>
    <row r="127" spans="10:15" ht="15">
      <c r="J127" s="42"/>
      <c r="K127" s="42"/>
      <c r="L127" s="42"/>
      <c r="M127" s="42"/>
      <c r="N127" s="42"/>
      <c r="O127" s="42"/>
    </row>
    <row r="128" spans="10:15" ht="15">
      <c r="J128" s="42"/>
      <c r="K128" s="42"/>
      <c r="L128" s="42"/>
      <c r="M128" s="42"/>
      <c r="N128" s="42"/>
      <c r="O128" s="42"/>
    </row>
    <row r="129" spans="10:15" ht="15">
      <c r="J129" s="42"/>
      <c r="K129" s="42"/>
      <c r="L129" s="42"/>
      <c r="M129" s="42"/>
      <c r="N129" s="42"/>
      <c r="O129" s="42"/>
    </row>
    <row r="130" spans="10:15" ht="15">
      <c r="J130" s="42"/>
      <c r="K130" s="42"/>
      <c r="L130" s="42"/>
      <c r="M130" s="42"/>
      <c r="N130" s="42"/>
      <c r="O130" s="42"/>
    </row>
    <row r="131" spans="10:15" ht="15">
      <c r="J131" s="42"/>
      <c r="K131" s="42"/>
      <c r="L131" s="42"/>
      <c r="M131" s="42"/>
      <c r="N131" s="42"/>
      <c r="O131" s="42"/>
    </row>
    <row r="132" spans="10:15" ht="15">
      <c r="J132" s="42"/>
      <c r="K132" s="42"/>
      <c r="L132" s="42"/>
      <c r="M132" s="42"/>
      <c r="N132" s="42"/>
      <c r="O132" s="42"/>
    </row>
    <row r="133" spans="10:15" ht="15">
      <c r="J133" s="42"/>
      <c r="K133" s="42"/>
      <c r="L133" s="42"/>
      <c r="M133" s="42"/>
      <c r="N133" s="42"/>
      <c r="O133" s="42"/>
    </row>
    <row r="134" spans="10:15" ht="15">
      <c r="J134" s="42"/>
      <c r="K134" s="42"/>
      <c r="L134" s="42"/>
      <c r="M134" s="42"/>
      <c r="N134" s="42"/>
      <c r="O134" s="42"/>
    </row>
    <row r="135" spans="10:15" ht="15">
      <c r="J135" s="42"/>
      <c r="K135" s="42"/>
      <c r="L135" s="42"/>
      <c r="M135" s="42"/>
      <c r="N135" s="42"/>
      <c r="O135" s="42"/>
    </row>
    <row r="136" spans="10:15" ht="15">
      <c r="J136" s="42"/>
      <c r="K136" s="42"/>
      <c r="L136" s="42"/>
      <c r="M136" s="42"/>
      <c r="N136" s="42"/>
      <c r="O136" s="42"/>
    </row>
    <row r="137" spans="10:15" ht="15">
      <c r="J137" s="42"/>
      <c r="K137" s="42"/>
      <c r="L137" s="42"/>
      <c r="M137" s="42"/>
      <c r="N137" s="42"/>
      <c r="O137" s="42"/>
    </row>
    <row r="138" spans="10:15" ht="15">
      <c r="J138" s="42"/>
      <c r="K138" s="42"/>
      <c r="L138" s="42"/>
      <c r="M138" s="42"/>
      <c r="N138" s="42"/>
      <c r="O138" s="42"/>
    </row>
    <row r="139" spans="10:15" ht="15">
      <c r="J139" s="42"/>
      <c r="K139" s="42"/>
      <c r="L139" s="42"/>
      <c r="M139" s="42"/>
      <c r="N139" s="42"/>
      <c r="O139" s="42"/>
    </row>
    <row r="140" spans="10:15" ht="15">
      <c r="J140" s="42"/>
      <c r="K140" s="42"/>
      <c r="L140" s="42"/>
      <c r="M140" s="42"/>
      <c r="N140" s="42"/>
      <c r="O140" s="42"/>
    </row>
    <row r="141" spans="10:15" ht="15">
      <c r="J141" s="42"/>
      <c r="K141" s="42"/>
      <c r="L141" s="42"/>
      <c r="M141" s="42"/>
      <c r="N141" s="42"/>
      <c r="O141" s="42"/>
    </row>
    <row r="142" spans="10:15" ht="15">
      <c r="J142" s="42"/>
      <c r="K142" s="42"/>
      <c r="L142" s="42"/>
      <c r="M142" s="42"/>
      <c r="N142" s="42"/>
      <c r="O142" s="42"/>
    </row>
    <row r="143" spans="10:15" ht="15">
      <c r="J143" s="42"/>
      <c r="K143" s="42"/>
      <c r="L143" s="42"/>
      <c r="M143" s="42"/>
      <c r="N143" s="42"/>
      <c r="O143" s="42"/>
    </row>
    <row r="144" spans="13:14" ht="15">
      <c r="M144" s="42"/>
      <c r="N144" s="42"/>
    </row>
    <row r="145" spans="13:14" ht="15">
      <c r="M145" s="42"/>
      <c r="N145" s="42"/>
    </row>
    <row r="158" ht="15">
      <c r="J158" s="161"/>
    </row>
    <row r="159" ht="15">
      <c r="J159" s="161"/>
    </row>
    <row r="160" ht="15">
      <c r="J160" s="161"/>
    </row>
    <row r="161" ht="15">
      <c r="J161" s="161"/>
    </row>
    <row r="162" ht="15">
      <c r="J162" s="161"/>
    </row>
    <row r="163" ht="15">
      <c r="J163" s="161"/>
    </row>
    <row r="164" ht="15">
      <c r="J164" s="161"/>
    </row>
    <row r="165" ht="15">
      <c r="J165" s="161"/>
    </row>
    <row r="173" spans="10:19" ht="15">
      <c r="J173" s="42"/>
      <c r="K173" s="42"/>
      <c r="Q173" s="42"/>
      <c r="R173" s="42"/>
      <c r="S173" s="42"/>
    </row>
    <row r="174" spans="10:19" ht="15">
      <c r="J174" s="42"/>
      <c r="K174" s="42"/>
      <c r="Q174" s="42"/>
      <c r="R174" s="42"/>
      <c r="S174" s="42"/>
    </row>
    <row r="175" spans="10:19" ht="15">
      <c r="J175" s="42"/>
      <c r="K175" s="42"/>
      <c r="Q175" s="231"/>
      <c r="R175" s="42"/>
      <c r="S175" s="42"/>
    </row>
    <row r="176" spans="10:19" ht="15">
      <c r="J176" s="42"/>
      <c r="K176" s="42"/>
      <c r="Q176" s="192"/>
      <c r="R176" s="192"/>
      <c r="S176" s="42"/>
    </row>
    <row r="177" spans="10:19" ht="15">
      <c r="J177" s="42"/>
      <c r="K177" s="42"/>
      <c r="Q177" s="192"/>
      <c r="R177" s="192"/>
      <c r="S177" s="42"/>
    </row>
    <row r="178" spans="10:19" ht="15">
      <c r="J178" s="42"/>
      <c r="K178" s="42"/>
      <c r="Q178" s="192"/>
      <c r="R178" s="192"/>
      <c r="S178" s="169"/>
    </row>
    <row r="179" spans="10:19" ht="15">
      <c r="J179" s="42"/>
      <c r="K179" s="42"/>
      <c r="Q179" s="192"/>
      <c r="R179" s="192"/>
      <c r="S179" s="169"/>
    </row>
    <row r="180" spans="10:19" ht="15">
      <c r="J180" s="42"/>
      <c r="K180" s="42"/>
      <c r="Q180" s="42"/>
      <c r="R180" s="42"/>
      <c r="S180" s="42"/>
    </row>
    <row r="181" spans="10:19" ht="15">
      <c r="J181" s="42"/>
      <c r="K181" s="42"/>
      <c r="Q181" s="231"/>
      <c r="R181" s="192"/>
      <c r="S181" s="42"/>
    </row>
    <row r="182" spans="10:19" ht="15">
      <c r="J182" s="42"/>
      <c r="K182" s="42"/>
      <c r="Q182" s="192"/>
      <c r="R182" s="217"/>
      <c r="S182" s="42"/>
    </row>
    <row r="183" spans="10:19" ht="15">
      <c r="J183" s="42"/>
      <c r="K183" s="42"/>
      <c r="Q183" s="192"/>
      <c r="R183" s="217"/>
      <c r="S183" s="42"/>
    </row>
    <row r="184" spans="10:19" ht="15">
      <c r="J184" s="42"/>
      <c r="K184" s="42"/>
      <c r="Q184" s="192"/>
      <c r="R184" s="217"/>
      <c r="S184" s="169"/>
    </row>
    <row r="185" spans="10:19" ht="15">
      <c r="J185" s="42"/>
      <c r="K185" s="42"/>
      <c r="Q185" s="192"/>
      <c r="R185" s="217"/>
      <c r="S185" s="169"/>
    </row>
    <row r="186" spans="10:19" ht="15">
      <c r="J186" s="42"/>
      <c r="K186" s="161"/>
      <c r="Q186" s="169"/>
      <c r="R186" s="42"/>
      <c r="S186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2:V1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4" max="4" width="11.57421875" style="0" customWidth="1"/>
    <col min="8" max="8" width="9.421875" style="0" customWidth="1"/>
    <col min="22" max="22" width="8.8515625" style="247" customWidth="1"/>
  </cols>
  <sheetData>
    <row r="1" ht="13.5" thickBot="1"/>
    <row r="2" spans="2:22" ht="14.25" thickBot="1" thickTop="1">
      <c r="B2" s="50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248" t="s">
        <v>388</v>
      </c>
    </row>
    <row r="3" spans="2:22" ht="15.75" thickBot="1" thickTop="1">
      <c r="B3" s="238"/>
      <c r="C3" s="161" t="s">
        <v>218</v>
      </c>
      <c r="D3" s="42"/>
      <c r="E3" s="42"/>
      <c r="F3" s="42"/>
      <c r="G3" s="204" t="s">
        <v>370</v>
      </c>
      <c r="H3" s="205"/>
      <c r="I3" s="206"/>
      <c r="J3" s="42"/>
      <c r="K3" s="204" t="s">
        <v>222</v>
      </c>
      <c r="L3" s="205"/>
      <c r="M3" s="206"/>
      <c r="N3" s="42"/>
      <c r="O3" s="216" t="s">
        <v>384</v>
      </c>
      <c r="P3" s="159"/>
      <c r="Q3" s="160"/>
      <c r="R3" s="16"/>
      <c r="S3" s="208" t="s">
        <v>200</v>
      </c>
      <c r="T3" s="165"/>
      <c r="U3" s="166"/>
      <c r="V3" s="249"/>
    </row>
    <row r="4" spans="2:22" ht="18.75" thickTop="1">
      <c r="B4" s="238"/>
      <c r="C4" s="164" t="s">
        <v>219</v>
      </c>
      <c r="D4" s="165"/>
      <c r="E4" s="166"/>
      <c r="F4" s="42"/>
      <c r="G4" s="42" t="s">
        <v>199</v>
      </c>
      <c r="H4" s="42"/>
      <c r="I4" s="42"/>
      <c r="J4" s="42"/>
      <c r="K4" s="42"/>
      <c r="L4" s="42"/>
      <c r="M4" s="42"/>
      <c r="N4" s="42"/>
      <c r="O4" s="188" t="s">
        <v>323</v>
      </c>
      <c r="P4" s="192">
        <f>H16</f>
        <v>278.15</v>
      </c>
      <c r="Q4" s="163" t="s">
        <v>126</v>
      </c>
      <c r="R4" s="42"/>
      <c r="S4" s="202" t="s">
        <v>332</v>
      </c>
      <c r="T4" s="42" t="s">
        <v>333</v>
      </c>
      <c r="U4" s="172"/>
      <c r="V4" s="249"/>
    </row>
    <row r="5" spans="2:22" ht="18">
      <c r="B5" s="238"/>
      <c r="C5" s="170" t="s">
        <v>183</v>
      </c>
      <c r="D5" s="171">
        <f>'FAD to Norm code'!D13</f>
        <v>2</v>
      </c>
      <c r="E5" s="172" t="s">
        <v>5</v>
      </c>
      <c r="F5" s="42"/>
      <c r="G5" s="16"/>
      <c r="H5" s="16"/>
      <c r="I5" s="16"/>
      <c r="J5" s="42"/>
      <c r="K5" s="167" t="s">
        <v>210</v>
      </c>
      <c r="L5" s="165"/>
      <c r="M5" s="166"/>
      <c r="N5" s="42"/>
      <c r="O5" s="188" t="s">
        <v>316</v>
      </c>
      <c r="P5" s="217">
        <f>H7</f>
        <v>200000</v>
      </c>
      <c r="Q5" s="163" t="s">
        <v>125</v>
      </c>
      <c r="R5" s="42"/>
      <c r="S5" s="189" t="s">
        <v>318</v>
      </c>
      <c r="T5" s="192">
        <f>P6</f>
        <v>0.24</v>
      </c>
      <c r="U5" s="172" t="s">
        <v>122</v>
      </c>
      <c r="V5" s="249"/>
    </row>
    <row r="6" spans="2:22" ht="18">
      <c r="B6" s="238"/>
      <c r="C6" s="178" t="s">
        <v>197</v>
      </c>
      <c r="D6" s="171">
        <f>'FAD to Norm code'!D14</f>
        <v>5</v>
      </c>
      <c r="E6" s="172" t="s">
        <v>124</v>
      </c>
      <c r="F6" s="42"/>
      <c r="G6" s="208" t="s">
        <v>208</v>
      </c>
      <c r="H6" s="165"/>
      <c r="I6" s="166"/>
      <c r="J6" s="42"/>
      <c r="K6" s="173" t="s">
        <v>324</v>
      </c>
      <c r="L6" s="209">
        <f>D14*100*1000</f>
        <v>101299.99999999999</v>
      </c>
      <c r="M6" s="175" t="s">
        <v>125</v>
      </c>
      <c r="N6" s="42"/>
      <c r="O6" s="188" t="s">
        <v>318</v>
      </c>
      <c r="P6" s="192">
        <f>H12</f>
        <v>0.24</v>
      </c>
      <c r="Q6" s="163" t="s">
        <v>123</v>
      </c>
      <c r="R6" s="42"/>
      <c r="S6" s="202" t="s">
        <v>330</v>
      </c>
      <c r="T6" s="192">
        <f>P7</f>
        <v>872.5541381835938</v>
      </c>
      <c r="U6" s="172" t="s">
        <v>5</v>
      </c>
      <c r="V6" s="249"/>
    </row>
    <row r="7" spans="2:22" ht="18.75" thickBot="1">
      <c r="B7" s="238"/>
      <c r="C7" s="180" t="s">
        <v>195</v>
      </c>
      <c r="D7" s="171">
        <f>'FAD to Norm code'!D15</f>
        <v>24</v>
      </c>
      <c r="E7" s="175" t="s">
        <v>1</v>
      </c>
      <c r="F7" s="42"/>
      <c r="G7" s="173" t="s">
        <v>316</v>
      </c>
      <c r="H7" s="209">
        <f>D5*100*1000</f>
        <v>200000</v>
      </c>
      <c r="I7" s="175" t="s">
        <v>125</v>
      </c>
      <c r="J7" s="42"/>
      <c r="K7" s="42"/>
      <c r="L7" s="42"/>
      <c r="M7" s="42"/>
      <c r="N7" s="42"/>
      <c r="O7" s="218" t="s">
        <v>330</v>
      </c>
      <c r="P7" s="219">
        <f>L21</f>
        <v>872.5541381835938</v>
      </c>
      <c r="Q7" s="201" t="s">
        <v>125</v>
      </c>
      <c r="R7" s="42"/>
      <c r="S7" s="173" t="s">
        <v>334</v>
      </c>
      <c r="T7" s="221">
        <f>T5*T6</f>
        <v>209.4129931640625</v>
      </c>
      <c r="U7" s="211" t="s">
        <v>125</v>
      </c>
      <c r="V7" s="249"/>
    </row>
    <row r="8" spans="2:22" ht="15" thickTop="1">
      <c r="B8" s="238"/>
      <c r="C8" s="42"/>
      <c r="D8" s="42"/>
      <c r="E8" s="42"/>
      <c r="F8" s="42"/>
      <c r="G8" s="42"/>
      <c r="H8" s="42"/>
      <c r="I8" s="42"/>
      <c r="J8" s="42"/>
      <c r="K8" s="208" t="s">
        <v>209</v>
      </c>
      <c r="L8" s="165"/>
      <c r="M8" s="166"/>
      <c r="N8" s="42"/>
      <c r="O8" s="42"/>
      <c r="P8" s="42"/>
      <c r="Q8" s="42"/>
      <c r="R8" s="42"/>
      <c r="S8" s="16"/>
      <c r="T8" s="16"/>
      <c r="U8" s="16"/>
      <c r="V8" s="249"/>
    </row>
    <row r="9" spans="2:22" ht="18">
      <c r="B9" s="238"/>
      <c r="C9" s="186" t="s">
        <v>220</v>
      </c>
      <c r="D9" s="165"/>
      <c r="E9" s="166"/>
      <c r="F9" s="42"/>
      <c r="G9" s="143" t="s">
        <v>193</v>
      </c>
      <c r="H9" s="165"/>
      <c r="I9" s="166"/>
      <c r="J9" s="42"/>
      <c r="K9" s="189" t="s">
        <v>325</v>
      </c>
      <c r="L9" s="42" t="s">
        <v>326</v>
      </c>
      <c r="M9" s="172"/>
      <c r="N9" s="42"/>
      <c r="O9" s="237" t="s">
        <v>201</v>
      </c>
      <c r="P9" s="165"/>
      <c r="Q9" s="166"/>
      <c r="R9" s="42"/>
      <c r="S9" s="42"/>
      <c r="T9" s="42"/>
      <c r="U9" s="42"/>
      <c r="V9" s="249"/>
    </row>
    <row r="10" spans="2:22" ht="18">
      <c r="B10" s="238"/>
      <c r="C10" s="180" t="s">
        <v>309</v>
      </c>
      <c r="D10" s="187">
        <f>'FAD to Norm code'!D19</f>
        <v>480</v>
      </c>
      <c r="E10" s="236" t="s">
        <v>374</v>
      </c>
      <c r="F10" s="42"/>
      <c r="G10" s="189" t="s">
        <v>318</v>
      </c>
      <c r="H10" s="42" t="s">
        <v>319</v>
      </c>
      <c r="I10" s="172"/>
      <c r="J10" s="42"/>
      <c r="K10" s="189" t="s">
        <v>327</v>
      </c>
      <c r="L10" s="192">
        <f>D15</f>
        <v>0</v>
      </c>
      <c r="M10" s="172" t="s">
        <v>1</v>
      </c>
      <c r="N10" s="42"/>
      <c r="O10" s="145" t="s">
        <v>375</v>
      </c>
      <c r="P10" s="16"/>
      <c r="Q10" s="172"/>
      <c r="R10" s="42"/>
      <c r="S10" s="167" t="s">
        <v>187</v>
      </c>
      <c r="T10" s="165"/>
      <c r="U10" s="166"/>
      <c r="V10" s="249"/>
    </row>
    <row r="11" spans="2:22" ht="18">
      <c r="B11" s="238"/>
      <c r="C11" s="42"/>
      <c r="D11" s="42"/>
      <c r="E11" s="42"/>
      <c r="F11" s="42"/>
      <c r="G11" s="189" t="s">
        <v>320</v>
      </c>
      <c r="H11" s="192">
        <f>D7</f>
        <v>24</v>
      </c>
      <c r="I11" s="172" t="s">
        <v>1</v>
      </c>
      <c r="J11" s="42"/>
      <c r="K11" s="193" t="s">
        <v>325</v>
      </c>
      <c r="L11" s="210">
        <f>L10/100</f>
        <v>0</v>
      </c>
      <c r="M11" s="211" t="s">
        <v>122</v>
      </c>
      <c r="N11" s="42"/>
      <c r="O11" s="202" t="s">
        <v>328</v>
      </c>
      <c r="P11" s="220">
        <f>L14</f>
        <v>0</v>
      </c>
      <c r="Q11" s="191" t="s">
        <v>124</v>
      </c>
      <c r="R11" s="42"/>
      <c r="S11" s="202" t="s">
        <v>335</v>
      </c>
      <c r="T11" s="169" t="s">
        <v>336</v>
      </c>
      <c r="U11" s="172"/>
      <c r="V11" s="249"/>
    </row>
    <row r="12" spans="2:22" ht="18">
      <c r="B12" s="238"/>
      <c r="C12" s="164" t="s">
        <v>385</v>
      </c>
      <c r="D12" s="165"/>
      <c r="E12" s="166"/>
      <c r="F12" s="42"/>
      <c r="G12" s="189" t="s">
        <v>318</v>
      </c>
      <c r="H12" s="210">
        <f>H11/100</f>
        <v>0.24</v>
      </c>
      <c r="I12" s="211" t="s">
        <v>122</v>
      </c>
      <c r="J12" s="42"/>
      <c r="K12" s="42"/>
      <c r="L12" s="42"/>
      <c r="M12" s="42"/>
      <c r="N12" s="42"/>
      <c r="O12" s="173" t="s">
        <v>331</v>
      </c>
      <c r="P12" s="215">
        <f>SaturatedWaterIcePressure_t(P11)</f>
        <v>611.2911987304688</v>
      </c>
      <c r="Q12" s="175" t="s">
        <v>125</v>
      </c>
      <c r="R12" s="42"/>
      <c r="S12" s="202" t="s">
        <v>337</v>
      </c>
      <c r="T12" s="217">
        <f>H7</f>
        <v>200000</v>
      </c>
      <c r="U12" s="222" t="s">
        <v>125</v>
      </c>
      <c r="V12" s="249"/>
    </row>
    <row r="13" spans="2:22" ht="18.75" thickBot="1">
      <c r="B13" s="238"/>
      <c r="C13" s="189" t="s">
        <v>311</v>
      </c>
      <c r="D13" s="190">
        <v>0</v>
      </c>
      <c r="E13" s="172" t="s">
        <v>124</v>
      </c>
      <c r="F13" s="42"/>
      <c r="G13" s="42"/>
      <c r="H13" s="42"/>
      <c r="I13" s="42"/>
      <c r="J13" s="42"/>
      <c r="K13" s="208" t="s">
        <v>211</v>
      </c>
      <c r="L13" s="165"/>
      <c r="M13" s="166"/>
      <c r="N13" s="42"/>
      <c r="O13" s="42"/>
      <c r="P13" s="42"/>
      <c r="Q13" s="42"/>
      <c r="R13" s="42"/>
      <c r="S13" s="202" t="s">
        <v>338</v>
      </c>
      <c r="T13" s="223">
        <f>T7</f>
        <v>209.4129931640625</v>
      </c>
      <c r="U13" s="222" t="s">
        <v>125</v>
      </c>
      <c r="V13" s="249"/>
    </row>
    <row r="14" spans="2:22" ht="18.75" thickTop="1">
      <c r="B14" s="238"/>
      <c r="C14" s="189" t="s">
        <v>312</v>
      </c>
      <c r="D14" s="190">
        <v>1.013</v>
      </c>
      <c r="E14" s="191" t="s">
        <v>5</v>
      </c>
      <c r="F14" s="42"/>
      <c r="G14" s="142" t="s">
        <v>194</v>
      </c>
      <c r="H14" s="165"/>
      <c r="I14" s="166"/>
      <c r="J14" s="42"/>
      <c r="K14" s="202" t="s">
        <v>328</v>
      </c>
      <c r="L14" s="213">
        <f>D13</f>
        <v>0</v>
      </c>
      <c r="M14" s="172" t="s">
        <v>124</v>
      </c>
      <c r="N14" s="42"/>
      <c r="O14" s="216" t="s">
        <v>383</v>
      </c>
      <c r="P14" s="159"/>
      <c r="Q14" s="160"/>
      <c r="R14" s="42"/>
      <c r="S14" s="173" t="s">
        <v>335</v>
      </c>
      <c r="T14" s="224">
        <f>T12-T13</f>
        <v>199790.58700683594</v>
      </c>
      <c r="U14" s="211" t="s">
        <v>125</v>
      </c>
      <c r="V14" s="249"/>
    </row>
    <row r="15" spans="2:22" ht="18">
      <c r="B15" s="238"/>
      <c r="C15" s="193" t="s">
        <v>313</v>
      </c>
      <c r="D15" s="194">
        <v>0</v>
      </c>
      <c r="E15" s="175" t="s">
        <v>1</v>
      </c>
      <c r="F15" s="42"/>
      <c r="G15" s="202" t="s">
        <v>322</v>
      </c>
      <c r="H15" s="213">
        <f>D6</f>
        <v>5</v>
      </c>
      <c r="I15" s="172" t="s">
        <v>124</v>
      </c>
      <c r="J15" s="42"/>
      <c r="K15" s="173" t="s">
        <v>329</v>
      </c>
      <c r="L15" s="174">
        <f>L14+Kelv</f>
        <v>273.15</v>
      </c>
      <c r="M15" s="175" t="s">
        <v>126</v>
      </c>
      <c r="N15" s="42"/>
      <c r="O15" s="188" t="s">
        <v>329</v>
      </c>
      <c r="P15" s="217">
        <f>L15</f>
        <v>273.15</v>
      </c>
      <c r="Q15" s="163" t="s">
        <v>126</v>
      </c>
      <c r="R15" s="42"/>
      <c r="S15" s="42"/>
      <c r="T15" s="42"/>
      <c r="U15" s="42"/>
      <c r="V15" s="249"/>
    </row>
    <row r="16" spans="2:22" ht="18">
      <c r="B16" s="238"/>
      <c r="C16" s="42"/>
      <c r="D16" s="42"/>
      <c r="E16" s="42"/>
      <c r="F16" s="42"/>
      <c r="G16" s="202" t="s">
        <v>323</v>
      </c>
      <c r="H16" s="214">
        <f>H15+Kelv</f>
        <v>278.15</v>
      </c>
      <c r="I16" s="172" t="s">
        <v>126</v>
      </c>
      <c r="J16" s="42"/>
      <c r="K16" s="42"/>
      <c r="L16" s="42"/>
      <c r="M16" s="42" t="s">
        <v>117</v>
      </c>
      <c r="N16" s="42"/>
      <c r="O16" s="188" t="s">
        <v>324</v>
      </c>
      <c r="P16" s="217">
        <f>L6</f>
        <v>101299.99999999999</v>
      </c>
      <c r="Q16" s="163" t="s">
        <v>125</v>
      </c>
      <c r="R16" s="42"/>
      <c r="S16" s="208" t="s">
        <v>389</v>
      </c>
      <c r="T16" s="165"/>
      <c r="U16" s="166"/>
      <c r="V16" s="249"/>
    </row>
    <row r="17" spans="2:22" ht="18">
      <c r="B17" s="238"/>
      <c r="C17" s="254" t="s">
        <v>221</v>
      </c>
      <c r="D17" s="42"/>
      <c r="E17" s="42"/>
      <c r="F17" s="42"/>
      <c r="G17" s="42"/>
      <c r="H17" s="42"/>
      <c r="I17" s="42"/>
      <c r="J17" s="42"/>
      <c r="K17" s="167" t="s">
        <v>371</v>
      </c>
      <c r="L17" s="165"/>
      <c r="M17" s="166"/>
      <c r="N17" s="42"/>
      <c r="O17" s="188" t="s">
        <v>325</v>
      </c>
      <c r="P17" s="192">
        <f>L11</f>
        <v>0</v>
      </c>
      <c r="Q17" s="163" t="s">
        <v>123</v>
      </c>
      <c r="R17" s="42"/>
      <c r="S17" s="260" t="s">
        <v>390</v>
      </c>
      <c r="T17" s="16"/>
      <c r="U17" s="141"/>
      <c r="V17" s="249"/>
    </row>
    <row r="18" spans="2:22" ht="18.75" thickBot="1">
      <c r="B18" s="238"/>
      <c r="C18" s="231" t="s">
        <v>185</v>
      </c>
      <c r="D18" s="42"/>
      <c r="E18" s="42"/>
      <c r="F18" s="42"/>
      <c r="G18" s="16"/>
      <c r="H18" s="16"/>
      <c r="I18" s="16"/>
      <c r="J18" s="16"/>
      <c r="K18" s="167" t="s">
        <v>372</v>
      </c>
      <c r="L18" s="16"/>
      <c r="M18" s="16"/>
      <c r="N18" s="16"/>
      <c r="O18" s="218" t="s">
        <v>331</v>
      </c>
      <c r="P18" s="219">
        <f>P12</f>
        <v>611.2911987304688</v>
      </c>
      <c r="Q18" s="201" t="s">
        <v>125</v>
      </c>
      <c r="R18" s="42"/>
      <c r="S18" s="202" t="s">
        <v>339</v>
      </c>
      <c r="T18" s="42" t="s">
        <v>340</v>
      </c>
      <c r="U18" s="172"/>
      <c r="V18" s="249"/>
    </row>
    <row r="19" spans="2:22" ht="18.75" thickTop="1">
      <c r="B19" s="238"/>
      <c r="C19" s="192" t="s">
        <v>314</v>
      </c>
      <c r="D19" s="190">
        <v>287.05</v>
      </c>
      <c r="E19" s="42" t="s">
        <v>189</v>
      </c>
      <c r="F19" s="42"/>
      <c r="G19" s="167" t="s">
        <v>359</v>
      </c>
      <c r="H19" s="165"/>
      <c r="I19" s="166"/>
      <c r="J19" s="16"/>
      <c r="K19" s="145" t="s">
        <v>373</v>
      </c>
      <c r="L19" s="16"/>
      <c r="M19" s="172"/>
      <c r="N19" s="42"/>
      <c r="O19" s="16"/>
      <c r="P19" s="16"/>
      <c r="Q19" s="16"/>
      <c r="R19" s="42"/>
      <c r="S19" s="189" t="s">
        <v>325</v>
      </c>
      <c r="T19" s="192">
        <f>P17</f>
        <v>0</v>
      </c>
      <c r="U19" s="172" t="s">
        <v>122</v>
      </c>
      <c r="V19" s="249"/>
    </row>
    <row r="20" spans="2:22" ht="18">
      <c r="B20" s="238"/>
      <c r="C20" s="231" t="s">
        <v>186</v>
      </c>
      <c r="D20" s="192"/>
      <c r="E20" s="42"/>
      <c r="F20" s="42"/>
      <c r="G20" s="178" t="s">
        <v>360</v>
      </c>
      <c r="H20" s="42"/>
      <c r="I20" s="172"/>
      <c r="J20" s="16"/>
      <c r="K20" s="202" t="s">
        <v>322</v>
      </c>
      <c r="L20" s="177">
        <f>H15</f>
        <v>5</v>
      </c>
      <c r="M20" s="191" t="s">
        <v>124</v>
      </c>
      <c r="N20" s="42"/>
      <c r="O20" s="42"/>
      <c r="P20" s="42"/>
      <c r="Q20" s="42"/>
      <c r="R20" s="42"/>
      <c r="S20" s="202" t="s">
        <v>331</v>
      </c>
      <c r="T20" s="192">
        <f>P18</f>
        <v>611.2911987304688</v>
      </c>
      <c r="U20" s="172" t="s">
        <v>5</v>
      </c>
      <c r="V20" s="249"/>
    </row>
    <row r="21" spans="2:22" ht="18">
      <c r="B21" s="238"/>
      <c r="C21" s="177" t="s">
        <v>315</v>
      </c>
      <c r="D21" s="190">
        <v>461.495</v>
      </c>
      <c r="E21" s="42" t="s">
        <v>189</v>
      </c>
      <c r="F21" s="42"/>
      <c r="G21" s="173" t="s">
        <v>306</v>
      </c>
      <c r="H21" s="174">
        <f>O44</f>
        <v>258.2417491818641</v>
      </c>
      <c r="I21" s="175" t="s">
        <v>31</v>
      </c>
      <c r="J21" s="16"/>
      <c r="K21" s="173" t="s">
        <v>330</v>
      </c>
      <c r="L21" s="215">
        <f>SaturatedWaterIcePressure_t(L20)</f>
        <v>872.5541381835938</v>
      </c>
      <c r="M21" s="175" t="s">
        <v>125</v>
      </c>
      <c r="N21" s="42"/>
      <c r="O21" s="16"/>
      <c r="P21" s="16"/>
      <c r="Q21" s="16"/>
      <c r="R21" s="42"/>
      <c r="S21" s="173" t="s">
        <v>341</v>
      </c>
      <c r="T21" s="225">
        <f>T19*T20</f>
        <v>0</v>
      </c>
      <c r="U21" s="211" t="s">
        <v>125</v>
      </c>
      <c r="V21" s="249"/>
    </row>
    <row r="22" spans="2:22" ht="15">
      <c r="B22" s="49"/>
      <c r="C22" s="231" t="s">
        <v>376</v>
      </c>
      <c r="D22" s="16"/>
      <c r="E22" s="16"/>
      <c r="F22" s="42"/>
      <c r="G22" s="16"/>
      <c r="H22" s="16"/>
      <c r="I22" s="16"/>
      <c r="J22" s="16"/>
      <c r="K22" s="42"/>
      <c r="L22" s="42"/>
      <c r="M22" s="42"/>
      <c r="N22" s="42"/>
      <c r="O22" s="16"/>
      <c r="P22" s="16"/>
      <c r="Q22" s="16"/>
      <c r="R22" s="42"/>
      <c r="S22" s="16"/>
      <c r="T22" s="16"/>
      <c r="U22" s="16"/>
      <c r="V22" s="249"/>
    </row>
    <row r="23" spans="2:22" ht="15" thickBot="1">
      <c r="B23" s="53"/>
      <c r="C23" s="255" t="s">
        <v>127</v>
      </c>
      <c r="D23" s="256">
        <v>273.15</v>
      </c>
      <c r="E23" s="54" t="s">
        <v>126</v>
      </c>
      <c r="F23" s="239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239"/>
      <c r="S23" s="55"/>
      <c r="T23" s="55"/>
      <c r="U23" s="55"/>
      <c r="V23" s="250"/>
    </row>
    <row r="24" spans="2:18" ht="15" thickTop="1">
      <c r="B24" s="156"/>
      <c r="F24" s="156"/>
      <c r="R24" s="156"/>
    </row>
    <row r="25" ht="15" thickBot="1">
      <c r="R25" s="156"/>
    </row>
    <row r="26" spans="2:22" ht="15.75" thickBot="1" thickTop="1">
      <c r="B26" s="50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245"/>
      <c r="S26" s="52"/>
      <c r="T26" s="52"/>
      <c r="U26" s="52"/>
      <c r="V26" s="248" t="s">
        <v>387</v>
      </c>
    </row>
    <row r="27" spans="2:22" ht="15" thickTop="1">
      <c r="B27" s="49"/>
      <c r="C27" s="35" t="s">
        <v>196</v>
      </c>
      <c r="D27" s="159"/>
      <c r="E27" s="159"/>
      <c r="F27" s="46"/>
      <c r="G27" s="16"/>
      <c r="H27" s="229" t="s">
        <v>190</v>
      </c>
      <c r="I27" s="159"/>
      <c r="J27" s="159"/>
      <c r="K27" s="46"/>
      <c r="L27" s="16"/>
      <c r="M27" s="16"/>
      <c r="N27" s="229" t="s">
        <v>207</v>
      </c>
      <c r="O27" s="159"/>
      <c r="P27" s="159"/>
      <c r="Q27" s="44"/>
      <c r="R27" s="160"/>
      <c r="S27" s="16"/>
      <c r="T27" s="16"/>
      <c r="U27" s="16"/>
      <c r="V27" s="249"/>
    </row>
    <row r="28" spans="2:22" ht="19.5">
      <c r="B28" s="238"/>
      <c r="C28" s="188" t="s">
        <v>342</v>
      </c>
      <c r="D28" s="33" t="s">
        <v>215</v>
      </c>
      <c r="E28" s="42"/>
      <c r="F28" s="47"/>
      <c r="G28" s="16"/>
      <c r="H28" s="188" t="s">
        <v>350</v>
      </c>
      <c r="I28" s="192" t="s">
        <v>351</v>
      </c>
      <c r="J28" s="42"/>
      <c r="K28" s="47"/>
      <c r="L28" s="16"/>
      <c r="M28" s="16"/>
      <c r="N28" s="179"/>
      <c r="O28" s="42"/>
      <c r="P28" s="42"/>
      <c r="Q28" s="16"/>
      <c r="R28" s="163"/>
      <c r="S28" s="16"/>
      <c r="T28" s="16"/>
      <c r="U28" s="16"/>
      <c r="V28" s="249"/>
    </row>
    <row r="29" spans="2:22" ht="19.5">
      <c r="B29" s="238"/>
      <c r="C29" s="196" t="s">
        <v>334</v>
      </c>
      <c r="D29" s="223">
        <f>T7</f>
        <v>209.4129931640625</v>
      </c>
      <c r="E29" s="33" t="s">
        <v>125</v>
      </c>
      <c r="F29" s="47"/>
      <c r="G29" s="16"/>
      <c r="H29" s="188" t="s">
        <v>352</v>
      </c>
      <c r="I29" s="192">
        <f>D10</f>
        <v>480</v>
      </c>
      <c r="J29" s="42" t="s">
        <v>308</v>
      </c>
      <c r="K29" s="47"/>
      <c r="L29" s="16"/>
      <c r="M29" s="16"/>
      <c r="N29" s="179"/>
      <c r="O29" s="42"/>
      <c r="P29" s="42"/>
      <c r="Q29" s="16"/>
      <c r="R29" s="163"/>
      <c r="S29" s="16"/>
      <c r="T29" s="16"/>
      <c r="U29" s="16"/>
      <c r="V29" s="249"/>
    </row>
    <row r="30" spans="2:22" ht="19.5">
      <c r="B30" s="238"/>
      <c r="C30" s="196" t="s">
        <v>315</v>
      </c>
      <c r="D30" s="192">
        <f>D21</f>
        <v>461.495</v>
      </c>
      <c r="E30" s="33" t="s">
        <v>189</v>
      </c>
      <c r="F30" s="47"/>
      <c r="G30" s="16"/>
      <c r="H30" s="188" t="s">
        <v>342</v>
      </c>
      <c r="I30" s="228">
        <f>D34</f>
        <v>2.5039258088416725</v>
      </c>
      <c r="J30" s="42" t="s">
        <v>344</v>
      </c>
      <c r="K30" s="47"/>
      <c r="L30" s="16"/>
      <c r="M30" s="16"/>
      <c r="N30" s="179"/>
      <c r="O30" s="42"/>
      <c r="P30" s="42"/>
      <c r="Q30" s="16"/>
      <c r="R30" s="163"/>
      <c r="S30" s="16"/>
      <c r="T30" s="16"/>
      <c r="U30" s="16"/>
      <c r="V30" s="249"/>
    </row>
    <row r="31" spans="2:22" ht="18">
      <c r="B31" s="238"/>
      <c r="C31" s="196" t="s">
        <v>343</v>
      </c>
      <c r="D31" s="217">
        <f>T14</f>
        <v>199790.58700683594</v>
      </c>
      <c r="E31" s="33" t="s">
        <v>125</v>
      </c>
      <c r="F31" s="47"/>
      <c r="G31" s="16"/>
      <c r="H31" s="188" t="s">
        <v>350</v>
      </c>
      <c r="I31" s="213">
        <f>I29*I30</f>
        <v>1201.8843882440028</v>
      </c>
      <c r="J31" s="42" t="s">
        <v>192</v>
      </c>
      <c r="K31" s="47"/>
      <c r="L31" s="16"/>
      <c r="M31" s="16"/>
      <c r="N31" s="179" t="s">
        <v>217</v>
      </c>
      <c r="O31" s="42"/>
      <c r="P31" s="42"/>
      <c r="Q31" s="16"/>
      <c r="R31" s="163"/>
      <c r="S31" s="16"/>
      <c r="T31" s="16"/>
      <c r="U31" s="16"/>
      <c r="V31" s="249"/>
    </row>
    <row r="32" spans="2:22" ht="18.75" thickBot="1">
      <c r="B32" s="238"/>
      <c r="C32" s="196" t="s">
        <v>314</v>
      </c>
      <c r="D32" s="223">
        <f>D19</f>
        <v>287.05</v>
      </c>
      <c r="E32" s="33" t="s">
        <v>189</v>
      </c>
      <c r="F32" s="47"/>
      <c r="G32" s="16"/>
      <c r="H32" s="218" t="s">
        <v>350</v>
      </c>
      <c r="I32" s="242">
        <f>I31/3600</f>
        <v>0.333856774512223</v>
      </c>
      <c r="J32" s="200" t="s">
        <v>60</v>
      </c>
      <c r="K32" s="48"/>
      <c r="L32" s="16"/>
      <c r="M32" s="16"/>
      <c r="N32" s="179" t="s">
        <v>205</v>
      </c>
      <c r="O32" s="42"/>
      <c r="P32" s="42"/>
      <c r="Q32" s="16"/>
      <c r="R32" s="163"/>
      <c r="S32" s="16"/>
      <c r="T32" s="16"/>
      <c r="U32" s="16"/>
      <c r="V32" s="249"/>
    </row>
    <row r="33" spans="2:22" ht="19.5" thickBot="1" thickTop="1">
      <c r="B33" s="238"/>
      <c r="C33" s="196" t="s">
        <v>184</v>
      </c>
      <c r="D33" s="192">
        <f>P4</f>
        <v>278.15</v>
      </c>
      <c r="E33" s="33" t="s">
        <v>126</v>
      </c>
      <c r="F33" s="47"/>
      <c r="G33" s="16"/>
      <c r="H33" s="42"/>
      <c r="I33" s="42"/>
      <c r="J33" s="42"/>
      <c r="K33" s="16"/>
      <c r="L33" s="16"/>
      <c r="M33" s="16"/>
      <c r="N33" s="188" t="s">
        <v>353</v>
      </c>
      <c r="O33" s="223">
        <f>I44</f>
        <v>133.33333333333334</v>
      </c>
      <c r="P33" s="42" t="s">
        <v>25</v>
      </c>
      <c r="Q33" s="16"/>
      <c r="R33" s="163"/>
      <c r="S33" s="16"/>
      <c r="T33" s="16"/>
      <c r="U33" s="16"/>
      <c r="V33" s="249"/>
    </row>
    <row r="34" spans="2:22" ht="19.5" thickBot="1" thickTop="1">
      <c r="B34" s="238"/>
      <c r="C34" s="218" t="s">
        <v>342</v>
      </c>
      <c r="D34" s="243">
        <f>(D29/D30+D31/D32)/D33</f>
        <v>2.5039258088416725</v>
      </c>
      <c r="E34" s="38" t="s">
        <v>191</v>
      </c>
      <c r="F34" s="48"/>
      <c r="G34" s="16"/>
      <c r="H34" s="229" t="s">
        <v>212</v>
      </c>
      <c r="I34" s="159"/>
      <c r="J34" s="159"/>
      <c r="K34" s="46"/>
      <c r="L34" s="16"/>
      <c r="M34" s="16"/>
      <c r="N34" s="179" t="s">
        <v>206</v>
      </c>
      <c r="O34" s="42"/>
      <c r="P34" s="42"/>
      <c r="Q34" s="16"/>
      <c r="R34" s="163"/>
      <c r="S34" s="16"/>
      <c r="T34" s="16"/>
      <c r="U34" s="16"/>
      <c r="V34" s="249"/>
    </row>
    <row r="35" spans="2:22" ht="17.25" thickBot="1" thickTop="1">
      <c r="B35" s="238"/>
      <c r="C35" s="42"/>
      <c r="D35" s="42"/>
      <c r="E35" s="42"/>
      <c r="F35" s="16"/>
      <c r="G35" s="16"/>
      <c r="H35" s="179" t="s">
        <v>213</v>
      </c>
      <c r="I35" s="42"/>
      <c r="J35" s="42"/>
      <c r="K35" s="47"/>
      <c r="L35" s="16"/>
      <c r="M35" s="16"/>
      <c r="N35" s="149" t="s">
        <v>377</v>
      </c>
      <c r="O35" s="42"/>
      <c r="P35" s="42"/>
      <c r="Q35" s="16"/>
      <c r="R35" s="163"/>
      <c r="S35" s="16"/>
      <c r="T35" s="16"/>
      <c r="U35" s="16"/>
      <c r="V35" s="249"/>
    </row>
    <row r="36" spans="2:22" ht="18.75" thickTop="1">
      <c r="B36" s="238"/>
      <c r="C36" s="216" t="s">
        <v>202</v>
      </c>
      <c r="D36" s="159"/>
      <c r="E36" s="159"/>
      <c r="F36" s="46"/>
      <c r="G36" s="16"/>
      <c r="H36" s="179" t="s">
        <v>214</v>
      </c>
      <c r="I36" s="42"/>
      <c r="J36" s="42"/>
      <c r="K36" s="47"/>
      <c r="L36" s="16"/>
      <c r="M36" s="16"/>
      <c r="N36" s="188" t="s">
        <v>329</v>
      </c>
      <c r="O36" s="217">
        <f>P15</f>
        <v>273.15</v>
      </c>
      <c r="P36" s="42" t="s">
        <v>126</v>
      </c>
      <c r="Q36" s="16"/>
      <c r="R36" s="163"/>
      <c r="S36" s="16"/>
      <c r="T36" s="16"/>
      <c r="U36" s="16"/>
      <c r="V36" s="249"/>
    </row>
    <row r="37" spans="2:22" ht="18">
      <c r="B37" s="238"/>
      <c r="C37" s="196" t="s">
        <v>203</v>
      </c>
      <c r="D37" s="192" t="s">
        <v>345</v>
      </c>
      <c r="E37" s="42"/>
      <c r="F37" s="47"/>
      <c r="G37" s="16"/>
      <c r="H37" s="179"/>
      <c r="I37" s="42"/>
      <c r="J37" s="42"/>
      <c r="K37" s="47"/>
      <c r="L37" s="16"/>
      <c r="M37" s="16"/>
      <c r="N37" s="188" t="s">
        <v>323</v>
      </c>
      <c r="O37" s="223">
        <f>H16</f>
        <v>278.15</v>
      </c>
      <c r="P37" s="42" t="s">
        <v>126</v>
      </c>
      <c r="Q37" s="16"/>
      <c r="R37" s="163"/>
      <c r="S37" s="16"/>
      <c r="T37" s="16"/>
      <c r="U37" s="16"/>
      <c r="V37" s="249"/>
    </row>
    <row r="38" spans="2:22" ht="18">
      <c r="B38" s="238"/>
      <c r="C38" s="188" t="s">
        <v>346</v>
      </c>
      <c r="D38" s="226" t="s">
        <v>347</v>
      </c>
      <c r="E38" s="42"/>
      <c r="F38" s="47"/>
      <c r="G38" s="16"/>
      <c r="H38" s="179" t="s">
        <v>198</v>
      </c>
      <c r="I38" s="42" t="s">
        <v>188</v>
      </c>
      <c r="J38" s="42" t="s">
        <v>19</v>
      </c>
      <c r="K38" s="47"/>
      <c r="L38" s="16"/>
      <c r="M38" s="16"/>
      <c r="N38" s="188" t="s">
        <v>316</v>
      </c>
      <c r="O38" s="217">
        <f>P5</f>
        <v>200000</v>
      </c>
      <c r="P38" s="42" t="s">
        <v>125</v>
      </c>
      <c r="Q38" s="16"/>
      <c r="R38" s="163"/>
      <c r="S38" s="16"/>
      <c r="T38" s="16"/>
      <c r="U38" s="16"/>
      <c r="V38" s="249"/>
    </row>
    <row r="39" spans="2:22" ht="18">
      <c r="B39" s="238"/>
      <c r="C39" s="196" t="s">
        <v>348</v>
      </c>
      <c r="D39" s="217">
        <f>P16</f>
        <v>101299.99999999999</v>
      </c>
      <c r="E39" s="42" t="s">
        <v>125</v>
      </c>
      <c r="F39" s="47"/>
      <c r="G39" s="16"/>
      <c r="H39" s="179" t="s">
        <v>198</v>
      </c>
      <c r="I39" s="42">
        <f>1000/3600</f>
        <v>0.2777777777777778</v>
      </c>
      <c r="J39" s="42" t="s">
        <v>19</v>
      </c>
      <c r="K39" s="47"/>
      <c r="L39" s="16"/>
      <c r="M39" s="16"/>
      <c r="N39" s="188" t="s">
        <v>324</v>
      </c>
      <c r="O39" s="217">
        <f>P16</f>
        <v>101299.99999999999</v>
      </c>
      <c r="P39" s="42" t="s">
        <v>125</v>
      </c>
      <c r="Q39" s="16"/>
      <c r="R39" s="163"/>
      <c r="S39" s="16"/>
      <c r="T39" s="16"/>
      <c r="U39" s="16"/>
      <c r="V39" s="249"/>
    </row>
    <row r="40" spans="2:22" ht="18">
      <c r="B40" s="238"/>
      <c r="C40" s="188" t="s">
        <v>314</v>
      </c>
      <c r="D40" s="192">
        <f>D19</f>
        <v>287.05</v>
      </c>
      <c r="E40" s="42" t="s">
        <v>189</v>
      </c>
      <c r="F40" s="47"/>
      <c r="G40" s="16"/>
      <c r="H40" s="179" t="s">
        <v>216</v>
      </c>
      <c r="I40" s="42">
        <f>I39</f>
        <v>0.2777777777777778</v>
      </c>
      <c r="J40" s="42"/>
      <c r="K40" s="47"/>
      <c r="L40" s="16"/>
      <c r="M40" s="16"/>
      <c r="N40" s="188" t="s">
        <v>318</v>
      </c>
      <c r="O40" s="192">
        <f>P6</f>
        <v>0.24</v>
      </c>
      <c r="P40" s="42" t="s">
        <v>122</v>
      </c>
      <c r="Q40" s="16"/>
      <c r="R40" s="163"/>
      <c r="S40" s="16"/>
      <c r="T40" s="16"/>
      <c r="U40" s="16"/>
      <c r="V40" s="249"/>
    </row>
    <row r="41" spans="2:22" ht="18.75">
      <c r="B41" s="238"/>
      <c r="C41" s="196" t="s">
        <v>349</v>
      </c>
      <c r="D41" s="227">
        <f>P15</f>
        <v>273.15</v>
      </c>
      <c r="E41" s="42" t="s">
        <v>126</v>
      </c>
      <c r="F41" s="47"/>
      <c r="G41" s="16"/>
      <c r="H41" s="188" t="s">
        <v>352</v>
      </c>
      <c r="I41" s="192">
        <f>D10</f>
        <v>480</v>
      </c>
      <c r="J41" s="42" t="s">
        <v>310</v>
      </c>
      <c r="K41" s="47"/>
      <c r="L41" s="16"/>
      <c r="M41" s="16"/>
      <c r="N41" s="188" t="s">
        <v>325</v>
      </c>
      <c r="O41" s="217">
        <f>P17</f>
        <v>0</v>
      </c>
      <c r="P41" s="42" t="s">
        <v>122</v>
      </c>
      <c r="Q41" s="16"/>
      <c r="R41" s="163"/>
      <c r="S41" s="16"/>
      <c r="T41" s="16"/>
      <c r="U41" s="16"/>
      <c r="V41" s="249"/>
    </row>
    <row r="42" spans="2:22" ht="19.5" thickBot="1">
      <c r="B42" s="238"/>
      <c r="C42" s="218" t="s">
        <v>346</v>
      </c>
      <c r="D42" s="244">
        <f>D39/(D40*D41)</f>
        <v>1.2919648237387886</v>
      </c>
      <c r="E42" s="200" t="s">
        <v>344</v>
      </c>
      <c r="F42" s="48"/>
      <c r="G42" s="16"/>
      <c r="H42" s="188" t="s">
        <v>353</v>
      </c>
      <c r="I42" s="42" t="s">
        <v>354</v>
      </c>
      <c r="J42" s="169" t="s">
        <v>355</v>
      </c>
      <c r="K42" s="47"/>
      <c r="L42" s="16"/>
      <c r="M42" s="16"/>
      <c r="N42" s="188" t="s">
        <v>357</v>
      </c>
      <c r="O42" s="192">
        <f>P7</f>
        <v>872.5541381835938</v>
      </c>
      <c r="P42" s="42" t="s">
        <v>125</v>
      </c>
      <c r="Q42" s="16"/>
      <c r="R42" s="163"/>
      <c r="S42" s="16"/>
      <c r="T42" s="16"/>
      <c r="U42" s="16"/>
      <c r="V42" s="249"/>
    </row>
    <row r="43" spans="2:22" ht="18.75" thickTop="1">
      <c r="B43" s="238"/>
      <c r="C43" s="42"/>
      <c r="D43" s="42"/>
      <c r="E43" s="42"/>
      <c r="F43" s="16"/>
      <c r="G43" s="16"/>
      <c r="H43" s="188" t="s">
        <v>353</v>
      </c>
      <c r="I43" s="192">
        <f>D10</f>
        <v>480</v>
      </c>
      <c r="J43" s="240">
        <f>I39</f>
        <v>0.2777777777777778</v>
      </c>
      <c r="K43" s="47"/>
      <c r="L43" s="16"/>
      <c r="M43" s="16"/>
      <c r="N43" s="188" t="s">
        <v>358</v>
      </c>
      <c r="O43" s="217">
        <f>'FAD to Norm code'!R185</f>
        <v>0</v>
      </c>
      <c r="P43" s="42" t="s">
        <v>125</v>
      </c>
      <c r="Q43" s="16"/>
      <c r="R43" s="163"/>
      <c r="S43" s="16"/>
      <c r="T43" s="16"/>
      <c r="U43" s="16"/>
      <c r="V43" s="249"/>
    </row>
    <row r="44" spans="2:22" ht="18.75" thickBot="1">
      <c r="B44" s="238"/>
      <c r="C44" s="16"/>
      <c r="D44" s="16"/>
      <c r="E44" s="16"/>
      <c r="F44" s="16"/>
      <c r="G44" s="16"/>
      <c r="H44" s="218" t="s">
        <v>353</v>
      </c>
      <c r="I44" s="230">
        <f>J43*D10</f>
        <v>133.33333333333334</v>
      </c>
      <c r="J44" s="200" t="s">
        <v>204</v>
      </c>
      <c r="K44" s="48"/>
      <c r="L44" s="16"/>
      <c r="M44" s="16"/>
      <c r="N44" s="218" t="s">
        <v>356</v>
      </c>
      <c r="O44" s="230">
        <f>O33*(O36/O37)*(O38-O40*O42)/(O39-O41*O42)</f>
        <v>258.2417491818641</v>
      </c>
      <c r="P44" s="200" t="s">
        <v>31</v>
      </c>
      <c r="Q44" s="45"/>
      <c r="R44" s="201"/>
      <c r="S44" s="16"/>
      <c r="T44" s="16"/>
      <c r="U44" s="16"/>
      <c r="V44" s="249"/>
    </row>
    <row r="45" spans="2:22" ht="15" thickTop="1">
      <c r="B45" s="238"/>
      <c r="C45" s="16"/>
      <c r="D45" s="16"/>
      <c r="E45" s="16"/>
      <c r="F45" s="16"/>
      <c r="G45" s="16"/>
      <c r="H45" s="42"/>
      <c r="I45" s="42"/>
      <c r="J45" s="42"/>
      <c r="K45" s="16"/>
      <c r="L45" s="16"/>
      <c r="M45" s="16"/>
      <c r="N45" s="16"/>
      <c r="O45" s="16"/>
      <c r="P45" s="16"/>
      <c r="Q45" s="16"/>
      <c r="R45" s="42"/>
      <c r="S45" s="16"/>
      <c r="T45" s="16"/>
      <c r="U45" s="16"/>
      <c r="V45" s="249"/>
    </row>
    <row r="46" spans="2:22" ht="15" thickBot="1">
      <c r="B46" s="246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239"/>
      <c r="S46" s="55"/>
      <c r="T46" s="55"/>
      <c r="U46" s="55"/>
      <c r="V46" s="250"/>
    </row>
    <row r="47" spans="2:18" ht="15" thickTop="1">
      <c r="B47" s="156"/>
      <c r="H47" s="16"/>
      <c r="I47" s="16"/>
      <c r="J47" s="16"/>
      <c r="K47" s="16"/>
      <c r="R47" s="156"/>
    </row>
    <row r="48" spans="2:18" ht="15">
      <c r="B48" s="156"/>
      <c r="H48" s="16"/>
      <c r="I48" s="16"/>
      <c r="J48" s="16"/>
      <c r="K48" s="16"/>
      <c r="R48" s="156"/>
    </row>
    <row r="49" spans="2:18" ht="15" thickBot="1">
      <c r="B49" s="156"/>
      <c r="R49" s="156"/>
    </row>
    <row r="50" spans="2:22" ht="15" thickTop="1">
      <c r="B50" s="2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245"/>
      <c r="S50" s="52"/>
      <c r="T50" s="52"/>
      <c r="U50" s="52"/>
      <c r="V50" s="248" t="s">
        <v>386</v>
      </c>
    </row>
    <row r="51" spans="2:22" ht="15">
      <c r="B51" s="23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U51" s="16"/>
      <c r="V51" s="249"/>
    </row>
    <row r="52" spans="2:22" ht="15">
      <c r="B52" s="238"/>
      <c r="C52" s="42" t="s">
        <v>379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42" t="s">
        <v>380</v>
      </c>
      <c r="U52" s="16"/>
      <c r="V52" s="249"/>
    </row>
    <row r="53" spans="2:22" ht="15">
      <c r="B53" s="23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42" t="s">
        <v>381</v>
      </c>
      <c r="V53" s="249"/>
    </row>
    <row r="54" spans="2:22" ht="15">
      <c r="B54" s="23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V54" s="249"/>
    </row>
    <row r="55" spans="2:22" ht="15">
      <c r="B55" s="23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4" t="s">
        <v>219</v>
      </c>
      <c r="R55" s="165"/>
      <c r="S55" s="165"/>
      <c r="T55" s="140"/>
      <c r="U55" s="16"/>
      <c r="V55" s="249"/>
    </row>
    <row r="56" spans="2:22" ht="15">
      <c r="B56" s="23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0" t="s">
        <v>183</v>
      </c>
      <c r="R56" s="171">
        <f>D5</f>
        <v>2</v>
      </c>
      <c r="S56" s="42" t="s">
        <v>391</v>
      </c>
      <c r="T56" s="141"/>
      <c r="U56" s="16"/>
      <c r="V56" s="249"/>
    </row>
    <row r="57" spans="2:22" ht="15">
      <c r="B57" s="238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78" t="s">
        <v>195</v>
      </c>
      <c r="R57" s="171">
        <f>D7</f>
        <v>24</v>
      </c>
      <c r="S57" s="42" t="s">
        <v>1</v>
      </c>
      <c r="T57" s="141"/>
      <c r="U57" s="16"/>
      <c r="V57" s="249"/>
    </row>
    <row r="58" spans="2:22" ht="15">
      <c r="B58" s="23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8" t="s">
        <v>197</v>
      </c>
      <c r="R58" s="171">
        <f>D6</f>
        <v>5</v>
      </c>
      <c r="S58" s="42" t="s">
        <v>124</v>
      </c>
      <c r="T58" s="141"/>
      <c r="U58" s="16"/>
      <c r="V58" s="249"/>
    </row>
    <row r="59" spans="2:22" ht="15">
      <c r="B59" s="238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44"/>
      <c r="R59" s="16"/>
      <c r="S59" s="16"/>
      <c r="T59" s="141"/>
      <c r="U59" s="16"/>
      <c r="V59" s="249"/>
    </row>
    <row r="60" spans="2:22" ht="15">
      <c r="B60" s="238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252" t="s">
        <v>220</v>
      </c>
      <c r="R60" s="42"/>
      <c r="S60" s="42"/>
      <c r="T60" s="141"/>
      <c r="U60" s="16"/>
      <c r="V60" s="249"/>
    </row>
    <row r="61" spans="2:22" ht="19.5">
      <c r="B61" s="238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78" t="s">
        <v>309</v>
      </c>
      <c r="R61" s="171">
        <f>D10</f>
        <v>480</v>
      </c>
      <c r="S61" s="145" t="s">
        <v>374</v>
      </c>
      <c r="T61" s="141"/>
      <c r="U61" s="16"/>
      <c r="V61" s="249"/>
    </row>
    <row r="62" spans="2:22" ht="15">
      <c r="B62" s="238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44"/>
      <c r="R62" s="42"/>
      <c r="S62" s="16"/>
      <c r="T62" s="141"/>
      <c r="U62" s="16"/>
      <c r="V62" s="249"/>
    </row>
    <row r="63" spans="2:22" ht="15">
      <c r="B63" s="238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252" t="s">
        <v>382</v>
      </c>
      <c r="R63" s="42"/>
      <c r="S63" s="16"/>
      <c r="T63" s="141"/>
      <c r="U63" s="16"/>
      <c r="V63" s="249"/>
    </row>
    <row r="64" spans="2:22" ht="19.5">
      <c r="B64" s="23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89" t="s">
        <v>356</v>
      </c>
      <c r="R64" s="241">
        <f>O44</f>
        <v>258.2417491818641</v>
      </c>
      <c r="S64" s="42" t="s">
        <v>31</v>
      </c>
      <c r="T64" s="141"/>
      <c r="U64" s="16"/>
      <c r="V64" s="249"/>
    </row>
    <row r="65" spans="2:22" ht="15">
      <c r="B65" s="238"/>
      <c r="C65" s="16"/>
      <c r="D65" s="16"/>
      <c r="E65" s="16"/>
      <c r="F65" s="16"/>
      <c r="G65" s="42"/>
      <c r="H65" s="42"/>
      <c r="I65" s="42"/>
      <c r="J65" s="16"/>
      <c r="K65" s="16"/>
      <c r="L65" s="16"/>
      <c r="M65" s="16"/>
      <c r="N65" s="16"/>
      <c r="O65" s="16"/>
      <c r="P65" s="16"/>
      <c r="Q65" s="253"/>
      <c r="R65" s="203"/>
      <c r="S65" s="146"/>
      <c r="T65" s="147"/>
      <c r="U65" s="16"/>
      <c r="V65" s="249"/>
    </row>
    <row r="66" spans="2:22" ht="15">
      <c r="B66" s="238"/>
      <c r="C66" s="16"/>
      <c r="D66" s="16"/>
      <c r="E66" s="16"/>
      <c r="F66" s="16"/>
      <c r="G66" s="42"/>
      <c r="H66" s="42"/>
      <c r="I66" s="42"/>
      <c r="J66" s="16"/>
      <c r="K66" s="16"/>
      <c r="L66" s="16"/>
      <c r="M66" s="16"/>
      <c r="N66" s="16"/>
      <c r="O66" s="16"/>
      <c r="P66" s="16"/>
      <c r="Q66" s="16"/>
      <c r="R66" s="42"/>
      <c r="S66" s="16"/>
      <c r="T66" s="16"/>
      <c r="U66" s="16"/>
      <c r="V66" s="249"/>
    </row>
    <row r="67" spans="2:22" ht="15">
      <c r="B67" s="23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42"/>
      <c r="S67" s="16"/>
      <c r="T67" s="16"/>
      <c r="U67" s="16"/>
      <c r="V67" s="249"/>
    </row>
    <row r="68" spans="2:22" ht="15">
      <c r="B68" s="23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42"/>
      <c r="S68" s="16"/>
      <c r="T68" s="16"/>
      <c r="U68" s="16"/>
      <c r="V68" s="249"/>
    </row>
    <row r="69" spans="2:22" ht="15">
      <c r="B69" s="23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42"/>
      <c r="S69" s="16"/>
      <c r="T69" s="16"/>
      <c r="U69" s="16"/>
      <c r="V69" s="249"/>
    </row>
    <row r="70" spans="2:22" ht="15">
      <c r="B70" s="23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42"/>
      <c r="S70" s="16"/>
      <c r="T70" s="16"/>
      <c r="U70" s="16"/>
      <c r="V70" s="249"/>
    </row>
    <row r="71" spans="2:22" ht="15">
      <c r="B71" s="23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42"/>
      <c r="S71" s="16"/>
      <c r="T71" s="16"/>
      <c r="U71" s="16"/>
      <c r="V71" s="249"/>
    </row>
    <row r="72" spans="2:22" ht="15">
      <c r="B72" s="23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42"/>
      <c r="S72" s="16"/>
      <c r="T72" s="16"/>
      <c r="U72" s="16"/>
      <c r="V72" s="249"/>
    </row>
    <row r="73" spans="2:22" ht="15">
      <c r="B73" s="23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42"/>
      <c r="S73" s="16"/>
      <c r="T73" s="16"/>
      <c r="U73" s="16"/>
      <c r="V73" s="249"/>
    </row>
    <row r="74" spans="2:22" ht="15" thickBot="1">
      <c r="B74" s="246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239"/>
      <c r="S74" s="55"/>
      <c r="T74" s="55"/>
      <c r="U74" s="55"/>
      <c r="V74" s="250"/>
    </row>
    <row r="75" spans="2:18" ht="15" thickTop="1">
      <c r="B75" s="156"/>
      <c r="R75" s="156"/>
    </row>
    <row r="76" spans="2:18" ht="15">
      <c r="B76" s="156"/>
      <c r="R76" s="156"/>
    </row>
    <row r="77" spans="2:18" ht="15">
      <c r="B77" s="156"/>
      <c r="R77" s="156"/>
    </row>
    <row r="78" spans="2:18" ht="15">
      <c r="B78" s="156"/>
      <c r="R78" s="156"/>
    </row>
    <row r="79" spans="2:18" ht="15">
      <c r="B79" s="156"/>
      <c r="R79" s="156"/>
    </row>
    <row r="80" spans="2:21" ht="15">
      <c r="B80" s="156"/>
      <c r="R80" s="156"/>
      <c r="S80" s="156"/>
      <c r="T80" s="156"/>
      <c r="U80" s="156"/>
    </row>
    <row r="81" spans="2:21" ht="15">
      <c r="B81" s="156"/>
      <c r="R81" s="156"/>
      <c r="S81" s="156"/>
      <c r="T81" s="156"/>
      <c r="U81" s="156"/>
    </row>
    <row r="82" spans="2:21" ht="15">
      <c r="B82" s="156"/>
      <c r="R82" s="156"/>
      <c r="S82" s="156"/>
      <c r="T82" s="156"/>
      <c r="U82" s="156"/>
    </row>
    <row r="83" spans="2:21" ht="15">
      <c r="B83" s="156"/>
      <c r="R83" s="156"/>
      <c r="S83" s="156"/>
      <c r="T83" s="156"/>
      <c r="U83" s="156"/>
    </row>
    <row r="84" spans="2:21" ht="15">
      <c r="B84" s="156"/>
      <c r="R84" s="156"/>
      <c r="S84" s="156"/>
      <c r="T84" s="156"/>
      <c r="U84" s="156"/>
    </row>
    <row r="85" spans="2:21" ht="15">
      <c r="B85" s="156"/>
      <c r="R85" s="156"/>
      <c r="S85" s="156"/>
      <c r="T85" s="156"/>
      <c r="U85" s="156"/>
    </row>
    <row r="86" spans="2:21" ht="15">
      <c r="B86" s="156"/>
      <c r="R86" s="156"/>
      <c r="S86" s="156"/>
      <c r="T86" s="156"/>
      <c r="U86" s="156"/>
    </row>
    <row r="87" spans="2:21" ht="15">
      <c r="B87" s="156"/>
      <c r="R87" s="156"/>
      <c r="S87" s="156"/>
      <c r="T87" s="156"/>
      <c r="U87" s="156"/>
    </row>
    <row r="88" spans="2:21" ht="15">
      <c r="B88" s="156"/>
      <c r="R88" s="156"/>
      <c r="S88" s="156"/>
      <c r="T88" s="156"/>
      <c r="U88" s="156"/>
    </row>
    <row r="89" spans="2:21" ht="15">
      <c r="B89" s="156"/>
      <c r="R89" s="156"/>
      <c r="S89" s="156"/>
      <c r="T89" s="156"/>
      <c r="U89" s="156"/>
    </row>
    <row r="90" spans="2:21" ht="15">
      <c r="B90" s="156"/>
      <c r="R90" s="156"/>
      <c r="S90" s="156"/>
      <c r="T90" s="156"/>
      <c r="U90" s="156"/>
    </row>
    <row r="91" spans="2:21" ht="15">
      <c r="B91" s="156"/>
      <c r="R91" s="156"/>
      <c r="S91" s="156"/>
      <c r="T91" s="156"/>
      <c r="U91" s="156"/>
    </row>
    <row r="92" spans="2:21" ht="15">
      <c r="B92" s="156"/>
      <c r="R92" s="156"/>
      <c r="S92" s="156"/>
      <c r="T92" s="156"/>
      <c r="U92" s="156"/>
    </row>
    <row r="93" spans="2:21" ht="15">
      <c r="B93" s="156"/>
      <c r="R93" s="156"/>
      <c r="S93" s="156"/>
      <c r="T93" s="156"/>
      <c r="U93" s="156"/>
    </row>
    <row r="94" spans="2:21" ht="15">
      <c r="B94" s="156"/>
      <c r="R94" s="156"/>
      <c r="S94" s="156"/>
      <c r="T94" s="156"/>
      <c r="U94" s="156"/>
    </row>
    <row r="95" spans="2:21" ht="15">
      <c r="B95" s="156"/>
      <c r="R95" s="156"/>
      <c r="S95" s="156"/>
      <c r="T95" s="156"/>
      <c r="U95" s="156"/>
    </row>
    <row r="96" spans="2:21" ht="15">
      <c r="B96" s="156"/>
      <c r="R96" s="156"/>
      <c r="S96" s="156"/>
      <c r="T96" s="156"/>
      <c r="U96" s="156"/>
    </row>
    <row r="97" spans="2:21" ht="15">
      <c r="B97" s="156"/>
      <c r="S97" s="156"/>
      <c r="T97" s="156"/>
      <c r="U97" s="156"/>
    </row>
    <row r="98" spans="2:21" ht="15">
      <c r="B98" s="156"/>
      <c r="S98" s="156"/>
      <c r="T98" s="156"/>
      <c r="U98" s="156"/>
    </row>
    <row r="99" spans="2:21" ht="15">
      <c r="B99" s="156"/>
      <c r="S99" s="156"/>
      <c r="T99" s="156"/>
      <c r="U99" s="156"/>
    </row>
    <row r="100" spans="2:21" ht="15">
      <c r="B100" s="156"/>
      <c r="S100" s="156"/>
      <c r="T100" s="156"/>
      <c r="U100" s="156"/>
    </row>
    <row r="101" spans="2:21" ht="15">
      <c r="B101" s="156"/>
      <c r="S101" s="156"/>
      <c r="T101" s="156"/>
      <c r="U101" s="156"/>
    </row>
    <row r="102" ht="15">
      <c r="B102" s="156"/>
    </row>
    <row r="103" ht="15">
      <c r="B103" s="156"/>
    </row>
    <row r="104" ht="15">
      <c r="B104" s="156"/>
    </row>
    <row r="105" ht="15">
      <c r="B105" s="156"/>
    </row>
    <row r="106" ht="15">
      <c r="B106" s="156"/>
    </row>
    <row r="107" ht="15">
      <c r="B107" s="156"/>
    </row>
    <row r="108" ht="15">
      <c r="B108" s="156"/>
    </row>
    <row r="109" ht="15">
      <c r="B109" s="156"/>
    </row>
    <row r="110" ht="15">
      <c r="B110" s="156"/>
    </row>
    <row r="111" ht="15">
      <c r="B111" s="156"/>
    </row>
    <row r="112" ht="15">
      <c r="B112" s="156"/>
    </row>
    <row r="113" ht="15">
      <c r="B113" s="156"/>
    </row>
    <row r="114" ht="15">
      <c r="B114" s="156"/>
    </row>
    <row r="115" ht="15">
      <c r="B115" s="156"/>
    </row>
    <row r="116" ht="15">
      <c r="B116" s="156"/>
    </row>
    <row r="117" ht="15">
      <c r="B117" s="156"/>
    </row>
    <row r="118" ht="15">
      <c r="B118" s="156"/>
    </row>
    <row r="119" ht="15">
      <c r="B119" s="156"/>
    </row>
    <row r="120" ht="15">
      <c r="B120" s="156"/>
    </row>
    <row r="121" ht="15">
      <c r="B121" s="156"/>
    </row>
    <row r="122" ht="15">
      <c r="B122" s="156"/>
    </row>
    <row r="123" ht="15">
      <c r="B123" s="156"/>
    </row>
    <row r="124" ht="15">
      <c r="B124" s="156"/>
    </row>
    <row r="125" ht="15">
      <c r="B125" s="156"/>
    </row>
    <row r="126" ht="15">
      <c r="B126" s="156"/>
    </row>
    <row r="127" ht="15">
      <c r="B127" s="156"/>
    </row>
    <row r="128" ht="15">
      <c r="B128" s="156"/>
    </row>
    <row r="129" ht="15">
      <c r="B129" s="156"/>
    </row>
    <row r="130" ht="15">
      <c r="B130" s="156"/>
    </row>
    <row r="131" ht="15">
      <c r="B131" s="156"/>
    </row>
    <row r="132" ht="15">
      <c r="B132" s="156"/>
    </row>
    <row r="133" ht="15">
      <c r="B133" s="156"/>
    </row>
    <row r="134" ht="15">
      <c r="B134" s="156"/>
    </row>
    <row r="135" ht="15">
      <c r="B135" s="156"/>
    </row>
    <row r="136" ht="15">
      <c r="B136" s="156"/>
    </row>
    <row r="137" ht="15">
      <c r="B137" s="156"/>
    </row>
    <row r="138" ht="15">
      <c r="B138" s="156"/>
    </row>
    <row r="139" ht="15">
      <c r="B139" s="156"/>
    </row>
    <row r="140" ht="15">
      <c r="B140" s="156"/>
    </row>
    <row r="141" ht="15">
      <c r="B141" s="156"/>
    </row>
    <row r="142" ht="15">
      <c r="B142" s="156"/>
    </row>
    <row r="143" ht="15">
      <c r="B143" s="156"/>
    </row>
    <row r="144" ht="15">
      <c r="B144" s="156"/>
    </row>
    <row r="145" ht="15">
      <c r="B145" s="156"/>
    </row>
    <row r="146" ht="15">
      <c r="B146" s="156"/>
    </row>
    <row r="147" ht="15">
      <c r="B147" s="156"/>
    </row>
    <row r="148" ht="15">
      <c r="B148" s="156"/>
    </row>
    <row r="149" ht="15">
      <c r="B149" s="156"/>
    </row>
    <row r="150" ht="15">
      <c r="B150" s="156"/>
    </row>
    <row r="151" ht="15">
      <c r="B151" s="156"/>
    </row>
    <row r="152" ht="15">
      <c r="B152" s="156"/>
    </row>
    <row r="153" ht="15">
      <c r="B153" s="156"/>
    </row>
    <row r="154" ht="15">
      <c r="B154" s="156"/>
    </row>
    <row r="155" spans="2:9" ht="15">
      <c r="B155" s="156"/>
      <c r="G155" s="156"/>
      <c r="H155" s="156"/>
      <c r="I155" s="156"/>
    </row>
    <row r="156" spans="2:9" ht="15">
      <c r="B156" s="156"/>
      <c r="G156" s="156"/>
      <c r="H156" s="156"/>
      <c r="I156" s="156"/>
    </row>
    <row r="157" spans="2:9" ht="15">
      <c r="B157" s="156"/>
      <c r="C157" s="156"/>
      <c r="D157" s="156"/>
      <c r="E157" s="156"/>
      <c r="F157" s="156"/>
      <c r="G157" s="156"/>
      <c r="H157" s="156"/>
      <c r="I157" s="156"/>
    </row>
    <row r="158" spans="2:9" ht="15">
      <c r="B158" s="156"/>
      <c r="C158" s="156"/>
      <c r="D158" s="156"/>
      <c r="E158" s="156"/>
      <c r="F158" s="156"/>
      <c r="G158" s="156"/>
      <c r="H158" s="156"/>
      <c r="I158" s="156"/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Equation.3" shapeId="2377128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/>
  <dimension ref="C1:I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1.421875" style="24" customWidth="1"/>
    <col min="3" max="3" width="22.8515625" style="24" bestFit="1" customWidth="1"/>
    <col min="4" max="6" width="11.421875" style="24" customWidth="1"/>
    <col min="7" max="7" width="24.7109375" style="24" bestFit="1" customWidth="1"/>
    <col min="8" max="16384" width="11.421875" style="24" customWidth="1"/>
  </cols>
  <sheetData>
    <row r="1" spans="5:7" ht="12.75">
      <c r="E1" s="24" t="s">
        <v>117</v>
      </c>
      <c r="G1" s="24" t="s">
        <v>117</v>
      </c>
    </row>
    <row r="2" ht="12.75">
      <c r="C2" s="24" t="s">
        <v>295</v>
      </c>
    </row>
    <row r="3" ht="12.75"/>
    <row r="4" ht="12.75">
      <c r="C4" s="23" t="s">
        <v>96</v>
      </c>
    </row>
    <row r="5" ht="12.75"/>
    <row r="6" spans="3:9" ht="13.5" thickBot="1">
      <c r="C6" s="23" t="s">
        <v>9</v>
      </c>
      <c r="G6" s="23" t="s">
        <v>15</v>
      </c>
      <c r="H6" s="259" t="s">
        <v>82</v>
      </c>
      <c r="I6" s="259"/>
    </row>
    <row r="7" spans="3:9" ht="13.5" thickBot="1">
      <c r="C7" s="24" t="s">
        <v>2</v>
      </c>
      <c r="D7" s="153">
        <v>2</v>
      </c>
      <c r="G7" s="24" t="s">
        <v>16</v>
      </c>
      <c r="H7" s="30">
        <v>1.013</v>
      </c>
      <c r="I7" s="24" t="s">
        <v>99</v>
      </c>
    </row>
    <row r="8" spans="3:9" ht="13.5" thickBot="1">
      <c r="C8" s="24" t="s">
        <v>0</v>
      </c>
      <c r="D8" s="154">
        <v>24</v>
      </c>
      <c r="E8" s="24" t="s">
        <v>1</v>
      </c>
      <c r="G8" s="24" t="s">
        <v>0</v>
      </c>
      <c r="H8" s="31">
        <v>0</v>
      </c>
      <c r="I8" s="24" t="s">
        <v>1</v>
      </c>
    </row>
    <row r="9" spans="3:9" ht="13.5" thickBot="1">
      <c r="C9" s="24" t="s">
        <v>7</v>
      </c>
      <c r="D9" s="155">
        <v>5</v>
      </c>
      <c r="E9" s="24" t="s">
        <v>8</v>
      </c>
      <c r="G9" s="24" t="s">
        <v>7</v>
      </c>
      <c r="H9" s="32">
        <v>0</v>
      </c>
      <c r="I9" s="24" t="s">
        <v>8</v>
      </c>
    </row>
    <row r="10" ht="12.75">
      <c r="H10" s="25"/>
    </row>
    <row r="11" spans="3:9" ht="13.5" thickBot="1">
      <c r="C11" s="23" t="s">
        <v>17</v>
      </c>
      <c r="G11" s="23" t="s">
        <v>79</v>
      </c>
      <c r="H11" s="259" t="s">
        <v>82</v>
      </c>
      <c r="I11" s="259"/>
    </row>
    <row r="12" spans="3:9" ht="13.5" thickBot="1">
      <c r="C12" s="24" t="s">
        <v>18</v>
      </c>
      <c r="D12" s="154">
        <v>480</v>
      </c>
      <c r="G12" s="24" t="s">
        <v>16</v>
      </c>
      <c r="H12" s="30">
        <v>1.013</v>
      </c>
      <c r="I12" s="24" t="s">
        <v>99</v>
      </c>
    </row>
    <row r="13" spans="7:9" ht="13.5" thickBot="1">
      <c r="G13" s="24" t="s">
        <v>0</v>
      </c>
      <c r="H13" s="31">
        <v>0</v>
      </c>
      <c r="I13" s="24" t="s">
        <v>1</v>
      </c>
    </row>
    <row r="14" spans="7:9" ht="13.5" thickBot="1">
      <c r="G14" s="24" t="s">
        <v>7</v>
      </c>
      <c r="H14" s="32">
        <v>15.56</v>
      </c>
      <c r="I14" s="24" t="s">
        <v>8</v>
      </c>
    </row>
    <row r="15" ht="12.75">
      <c r="H15" s="25"/>
    </row>
    <row r="16" ht="12.75">
      <c r="H16" s="25"/>
    </row>
    <row r="17" spans="3:8" ht="13.5" thickBot="1">
      <c r="C17" s="23" t="s">
        <v>44</v>
      </c>
      <c r="H17" s="25"/>
    </row>
    <row r="18" spans="3:8" ht="13.5" thickBot="1">
      <c r="C18" s="24" t="s">
        <v>61</v>
      </c>
      <c r="D18" s="152">
        <f>ROUNDUP(Hoja3!B48,2)</f>
        <v>258.24</v>
      </c>
      <c r="G18" s="24" t="s">
        <v>181</v>
      </c>
      <c r="H18" s="25"/>
    </row>
    <row r="19" spans="3:8" ht="13.5" thickBot="1">
      <c r="C19" s="24" t="s">
        <v>59</v>
      </c>
      <c r="D19" s="150">
        <f>Hoja3!B49</f>
        <v>0.3340369970553565</v>
      </c>
      <c r="E19" s="24" t="s">
        <v>60</v>
      </c>
      <c r="H19" s="25"/>
    </row>
    <row r="20" spans="3:5" ht="13.5" thickBot="1">
      <c r="C20" s="24" t="s">
        <v>75</v>
      </c>
      <c r="D20" s="151">
        <f>Hoja3!B2</f>
        <v>2</v>
      </c>
      <c r="E20" s="24" t="s">
        <v>74</v>
      </c>
    </row>
    <row r="22" spans="3:7" ht="12.75">
      <c r="C22" s="23"/>
      <c r="G22" s="26"/>
    </row>
    <row r="23" spans="3:4" ht="12.75">
      <c r="C23" s="23" t="s">
        <v>90</v>
      </c>
      <c r="D23" s="27"/>
    </row>
    <row r="24" ht="12.75">
      <c r="D24" s="28"/>
    </row>
    <row r="25" ht="12.75">
      <c r="D25" s="29"/>
    </row>
    <row r="26" spans="3:4" ht="12.75">
      <c r="C26" s="23"/>
      <c r="D26" s="29"/>
    </row>
    <row r="27" ht="12.75">
      <c r="D27" s="27"/>
    </row>
    <row r="28" spans="3:4" ht="12.75">
      <c r="C28" s="24" t="s">
        <v>92</v>
      </c>
      <c r="D28" s="29"/>
    </row>
    <row r="29" ht="12.75">
      <c r="C29" s="24" t="s">
        <v>93</v>
      </c>
    </row>
    <row r="30" ht="12.75">
      <c r="C30" s="24" t="s">
        <v>91</v>
      </c>
    </row>
    <row r="31" ht="12.75">
      <c r="C31" s="24" t="s">
        <v>94</v>
      </c>
    </row>
    <row r="32" ht="12.75">
      <c r="C32" s="24" t="s">
        <v>95</v>
      </c>
    </row>
    <row r="34" ht="13.5" thickBot="1"/>
    <row r="35" spans="3:5" ht="13.5" thickTop="1">
      <c r="C35" s="35"/>
      <c r="D35" s="36"/>
      <c r="E35" s="39"/>
    </row>
    <row r="36" spans="3:5" ht="12.75">
      <c r="C36" s="34"/>
      <c r="D36" s="33"/>
      <c r="E36" s="40"/>
    </row>
    <row r="37" spans="3:5" ht="12.75">
      <c r="C37" s="34" t="s">
        <v>100</v>
      </c>
      <c r="D37" s="33"/>
      <c r="E37" s="40"/>
    </row>
    <row r="38" spans="3:5" ht="12.75">
      <c r="C38" s="34" t="s">
        <v>101</v>
      </c>
      <c r="D38" s="33"/>
      <c r="E38" s="40"/>
    </row>
    <row r="39" spans="3:5" ht="12.75">
      <c r="C39" s="34"/>
      <c r="D39" s="33"/>
      <c r="E39" s="40"/>
    </row>
    <row r="40" spans="3:5" ht="12.75">
      <c r="C40" s="34" t="s">
        <v>102</v>
      </c>
      <c r="D40" s="33"/>
      <c r="E40" s="40"/>
    </row>
    <row r="41" spans="3:5" ht="12.75">
      <c r="C41" s="34" t="s">
        <v>103</v>
      </c>
      <c r="D41" s="33"/>
      <c r="E41" s="40"/>
    </row>
    <row r="42" spans="3:5" ht="12.75">
      <c r="C42" s="34"/>
      <c r="D42" s="33"/>
      <c r="E42" s="40"/>
    </row>
    <row r="43" spans="3:5" ht="12.75">
      <c r="C43" s="34" t="s">
        <v>104</v>
      </c>
      <c r="D43" s="33"/>
      <c r="E43" s="40"/>
    </row>
    <row r="44" spans="3:5" ht="12.75">
      <c r="C44" s="34"/>
      <c r="D44" s="33"/>
      <c r="E44" s="40"/>
    </row>
    <row r="45" spans="3:5" ht="12.75">
      <c r="C45" s="34" t="s">
        <v>105</v>
      </c>
      <c r="D45" s="33"/>
      <c r="E45" s="40"/>
    </row>
    <row r="46" spans="3:5" ht="12.75">
      <c r="C46" s="34"/>
      <c r="D46" s="33"/>
      <c r="E46" s="40"/>
    </row>
    <row r="47" spans="3:5" ht="12.75">
      <c r="C47" s="34" t="s">
        <v>106</v>
      </c>
      <c r="D47" s="33"/>
      <c r="E47" s="40"/>
    </row>
    <row r="48" spans="3:5" ht="12.75">
      <c r="C48" s="34" t="s">
        <v>107</v>
      </c>
      <c r="D48" s="33"/>
      <c r="E48" s="40"/>
    </row>
    <row r="49" spans="3:5" ht="12.75">
      <c r="C49" s="34" t="s">
        <v>108</v>
      </c>
      <c r="D49" s="33"/>
      <c r="E49" s="40"/>
    </row>
    <row r="50" spans="3:5" ht="12.75">
      <c r="C50" s="34" t="s">
        <v>109</v>
      </c>
      <c r="D50" s="33"/>
      <c r="E50" s="40"/>
    </row>
    <row r="51" spans="3:5" ht="12.75">
      <c r="C51" s="34" t="s">
        <v>110</v>
      </c>
      <c r="D51" s="33"/>
      <c r="E51" s="40"/>
    </row>
    <row r="52" spans="3:5" ht="12.75">
      <c r="C52" s="34"/>
      <c r="D52" s="33"/>
      <c r="E52" s="40"/>
    </row>
    <row r="53" spans="3:5" ht="12.75">
      <c r="C53" s="34" t="s">
        <v>111</v>
      </c>
      <c r="D53" s="33"/>
      <c r="E53" s="40"/>
    </row>
    <row r="54" spans="3:5" ht="12.75">
      <c r="C54" s="34" t="s">
        <v>107</v>
      </c>
      <c r="D54" s="33"/>
      <c r="E54" s="40"/>
    </row>
    <row r="55" spans="3:5" ht="12.75">
      <c r="C55" s="34" t="s">
        <v>108</v>
      </c>
      <c r="D55" s="33"/>
      <c r="E55" s="40"/>
    </row>
    <row r="56" spans="3:5" ht="12.75">
      <c r="C56" s="34" t="s">
        <v>109</v>
      </c>
      <c r="D56" s="33"/>
      <c r="E56" s="40"/>
    </row>
    <row r="57" spans="3:5" ht="12.75">
      <c r="C57" s="34" t="s">
        <v>110</v>
      </c>
      <c r="D57" s="33"/>
      <c r="E57" s="40"/>
    </row>
    <row r="58" spans="3:5" ht="12.75">
      <c r="C58" s="34"/>
      <c r="D58" s="33"/>
      <c r="E58" s="40"/>
    </row>
    <row r="59" spans="3:5" ht="12.75">
      <c r="C59" s="34" t="s">
        <v>112</v>
      </c>
      <c r="D59" s="33"/>
      <c r="E59" s="40"/>
    </row>
    <row r="60" spans="3:5" ht="12.75">
      <c r="C60" s="34" t="s">
        <v>113</v>
      </c>
      <c r="D60" s="33"/>
      <c r="E60" s="40"/>
    </row>
    <row r="61" spans="3:5" ht="12.75">
      <c r="C61" s="34" t="s">
        <v>114</v>
      </c>
      <c r="D61" s="33"/>
      <c r="E61" s="40"/>
    </row>
    <row r="62" spans="3:5" ht="12.75">
      <c r="C62" s="34" t="s">
        <v>109</v>
      </c>
      <c r="D62" s="33"/>
      <c r="E62" s="40"/>
    </row>
    <row r="63" spans="3:5" ht="12.75">
      <c r="C63" s="34" t="s">
        <v>110</v>
      </c>
      <c r="D63" s="33"/>
      <c r="E63" s="40"/>
    </row>
    <row r="64" spans="3:5" ht="12.75">
      <c r="C64" s="34"/>
      <c r="D64" s="33"/>
      <c r="E64" s="40"/>
    </row>
    <row r="65" spans="3:5" ht="12.75">
      <c r="C65" s="34" t="s">
        <v>115</v>
      </c>
      <c r="D65" s="33"/>
      <c r="E65" s="40"/>
    </row>
    <row r="66" spans="3:5" ht="12.75">
      <c r="C66" s="34" t="s">
        <v>113</v>
      </c>
      <c r="D66" s="33"/>
      <c r="E66" s="40"/>
    </row>
    <row r="67" spans="3:5" ht="12.75">
      <c r="C67" s="34" t="s">
        <v>114</v>
      </c>
      <c r="D67" s="33"/>
      <c r="E67" s="40"/>
    </row>
    <row r="68" spans="3:5" ht="12.75">
      <c r="C68" s="34" t="s">
        <v>109</v>
      </c>
      <c r="D68" s="33"/>
      <c r="E68" s="40"/>
    </row>
    <row r="69" spans="3:5" ht="12.75">
      <c r="C69" s="34" t="s">
        <v>110</v>
      </c>
      <c r="D69" s="33"/>
      <c r="E69" s="40"/>
    </row>
    <row r="70" spans="3:5" ht="12.75">
      <c r="C70" s="34"/>
      <c r="D70" s="33"/>
      <c r="E70" s="40"/>
    </row>
    <row r="71" spans="3:5" ht="13.5" thickBot="1">
      <c r="C71" s="37" t="s">
        <v>116</v>
      </c>
      <c r="D71" s="38"/>
      <c r="E71" s="41"/>
    </row>
    <row r="72" ht="13.5" thickTop="1"/>
  </sheetData>
  <sheetProtection/>
  <mergeCells count="2">
    <mergeCell ref="H6:I6"/>
    <mergeCell ref="H11:I11"/>
  </mergeCells>
  <hyperlinks>
    <hyperlink ref="H6" location="Info!A1" display="más info click aquí"/>
    <hyperlink ref="H11" location="Info2!A1" display="más info click aquí"/>
  </hyperlinks>
  <printOptions/>
  <pageMargins left="0.75" right="0.75" top="1" bottom="1" header="0" footer="0"/>
  <pageSetup horizontalDpi="600" verticalDpi="6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L4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0" customWidth="1"/>
    <col min="2" max="2" width="12.421875" style="0" bestFit="1" customWidth="1"/>
    <col min="3" max="8" width="11.57421875" style="0" bestFit="1" customWidth="1"/>
    <col min="9" max="10" width="11.421875" style="0" customWidth="1"/>
    <col min="11" max="12" width="11.57421875" style="0" bestFit="1" customWidth="1"/>
  </cols>
  <sheetData>
    <row r="1" spans="1:12" ht="15">
      <c r="A1" s="1" t="s">
        <v>46</v>
      </c>
      <c r="K1" s="2" t="s">
        <v>47</v>
      </c>
      <c r="L1" s="3" t="s">
        <v>48</v>
      </c>
    </row>
    <row r="2" spans="1:12" ht="13.5" thickBot="1">
      <c r="A2" t="s">
        <v>56</v>
      </c>
      <c r="B2" s="10">
        <f>IF(Hoja2!A2=1,'Atlas Copco'!D7,ROUNDUP(1.013*(1-22.557*10^-6*'Atlas Copco'!D7)^5.256,3))</f>
        <v>2</v>
      </c>
      <c r="K2" s="4" t="s">
        <v>8</v>
      </c>
      <c r="L2" s="5" t="s">
        <v>49</v>
      </c>
    </row>
    <row r="3" spans="1:12" ht="12.75">
      <c r="A3" t="s">
        <v>45</v>
      </c>
      <c r="B3" s="10">
        <f>'Atlas Copco'!D9+273</f>
        <v>278</v>
      </c>
      <c r="K3" s="14">
        <v>-100</v>
      </c>
      <c r="L3" s="14">
        <v>1.403E-05</v>
      </c>
    </row>
    <row r="4" spans="1:12" ht="12.75">
      <c r="A4" t="s">
        <v>50</v>
      </c>
      <c r="B4">
        <f>VLOOKUP(B3-273,psat,2)/1000</f>
        <v>0.00872</v>
      </c>
      <c r="K4" s="14">
        <v>-99</v>
      </c>
      <c r="L4" s="14">
        <v>1.719E-05</v>
      </c>
    </row>
    <row r="5" spans="1:12" ht="12.75">
      <c r="A5" t="s">
        <v>54</v>
      </c>
      <c r="B5">
        <f>'Atlas Copco'!D8/100</f>
        <v>0.24</v>
      </c>
      <c r="K5" s="14">
        <v>-98</v>
      </c>
      <c r="L5" s="14">
        <v>2.101E-05</v>
      </c>
    </row>
    <row r="6" spans="11:12" ht="12.75">
      <c r="K6" s="14">
        <v>-97</v>
      </c>
      <c r="L6" s="14">
        <v>2.561E-05</v>
      </c>
    </row>
    <row r="7" spans="1:12" ht="12.75">
      <c r="A7" t="s">
        <v>51</v>
      </c>
      <c r="B7">
        <v>287.05</v>
      </c>
      <c r="K7" s="14">
        <v>-96</v>
      </c>
      <c r="L7" s="14">
        <v>3.117E-05</v>
      </c>
    </row>
    <row r="8" spans="1:12" ht="12.75">
      <c r="A8" t="s">
        <v>52</v>
      </c>
      <c r="B8">
        <v>461.495</v>
      </c>
      <c r="K8" s="14">
        <v>-95</v>
      </c>
      <c r="L8" s="14">
        <v>3.784E-05</v>
      </c>
    </row>
    <row r="9" spans="3:12" ht="12.75">
      <c r="C9" t="s">
        <v>77</v>
      </c>
      <c r="D9" t="s">
        <v>78</v>
      </c>
      <c r="K9" s="14">
        <v>-94</v>
      </c>
      <c r="L9" s="14">
        <v>4.584E-05</v>
      </c>
    </row>
    <row r="10" spans="1:12" ht="12.75">
      <c r="A10" t="s">
        <v>53</v>
      </c>
      <c r="B10">
        <f>B5*B4</f>
        <v>0.0020928</v>
      </c>
      <c r="C10">
        <f>B38*B36</f>
        <v>0</v>
      </c>
      <c r="D10">
        <f>C38*C36</f>
        <v>0</v>
      </c>
      <c r="K10" s="14">
        <v>-93</v>
      </c>
      <c r="L10" s="14">
        <v>5.542E-05</v>
      </c>
    </row>
    <row r="11" spans="11:12" ht="12.75">
      <c r="K11" s="14">
        <v>-92</v>
      </c>
      <c r="L11" s="14">
        <v>6.685E-05</v>
      </c>
    </row>
    <row r="12" spans="11:12" ht="12.75">
      <c r="K12" s="14">
        <v>-91</v>
      </c>
      <c r="L12" s="14">
        <v>8.049E-05</v>
      </c>
    </row>
    <row r="13" spans="11:12" ht="12.75">
      <c r="K13" s="14">
        <v>-90</v>
      </c>
      <c r="L13" s="14">
        <v>9.672E-05</v>
      </c>
    </row>
    <row r="14" spans="3:12" ht="12.75">
      <c r="C14" t="s">
        <v>77</v>
      </c>
      <c r="D14" t="s">
        <v>78</v>
      </c>
      <c r="K14" s="14">
        <v>-89</v>
      </c>
      <c r="L14" s="14">
        <v>0.000116</v>
      </c>
    </row>
    <row r="15" spans="1:12" ht="12.75">
      <c r="A15" t="s">
        <v>55</v>
      </c>
      <c r="B15">
        <f>B2-B10</f>
        <v>1.9979072</v>
      </c>
      <c r="C15">
        <f>B37-C10</f>
        <v>1.013</v>
      </c>
      <c r="D15">
        <f>C37-D10</f>
        <v>1.013</v>
      </c>
      <c r="K15" s="14">
        <v>-88</v>
      </c>
      <c r="L15" s="14">
        <v>0.0001388</v>
      </c>
    </row>
    <row r="16" spans="11:12" ht="12.75">
      <c r="K16" s="14">
        <v>-87</v>
      </c>
      <c r="L16" s="14">
        <v>0.0001658</v>
      </c>
    </row>
    <row r="17" spans="3:12" ht="12.75">
      <c r="C17" t="s">
        <v>77</v>
      </c>
      <c r="D17" t="s">
        <v>78</v>
      </c>
      <c r="K17" s="14">
        <v>-86</v>
      </c>
      <c r="L17" s="14">
        <v>0.0001977</v>
      </c>
    </row>
    <row r="18" spans="1:12" ht="12.75">
      <c r="A18" t="s">
        <v>57</v>
      </c>
      <c r="B18">
        <f>((B10/B8)+B15/B7)/D39*10^5</f>
        <v>2.5052774779151736</v>
      </c>
      <c r="C18">
        <f>((C10/B8)+C15/B7)/B39*10^5</f>
        <v>1.2926746945210625</v>
      </c>
      <c r="D18">
        <f>((D10/B8)+D15/B7)/C39*10^5</f>
        <v>1.2229698905054411</v>
      </c>
      <c r="K18" s="14">
        <v>-85</v>
      </c>
      <c r="L18" s="14">
        <v>0.0002353</v>
      </c>
    </row>
    <row r="19" spans="11:12" ht="12.75">
      <c r="K19" s="14">
        <v>-84</v>
      </c>
      <c r="L19" s="14">
        <v>0.0002796</v>
      </c>
    </row>
    <row r="20" spans="11:12" ht="12.75">
      <c r="K20" s="14">
        <v>-83</v>
      </c>
      <c r="L20" s="14">
        <v>0.0003316</v>
      </c>
    </row>
    <row r="21" spans="7:12" ht="12.75">
      <c r="G21" s="261" t="s">
        <v>393</v>
      </c>
      <c r="K21" s="14">
        <v>-82</v>
      </c>
      <c r="L21" s="14">
        <v>0.0003925</v>
      </c>
    </row>
    <row r="22" spans="7:12" ht="12.75">
      <c r="G22" s="261" t="s">
        <v>392</v>
      </c>
      <c r="K22" s="14">
        <v>-81</v>
      </c>
      <c r="L22" s="14">
        <v>0.0004638</v>
      </c>
    </row>
    <row r="23" spans="11:12" ht="12.75">
      <c r="K23" s="14">
        <v>-80</v>
      </c>
      <c r="L23" s="14">
        <v>0.0005473</v>
      </c>
    </row>
    <row r="24" spans="11:12" ht="12.75">
      <c r="K24" s="14">
        <v>-79</v>
      </c>
      <c r="L24" s="14">
        <v>0.0006444</v>
      </c>
    </row>
    <row r="25" spans="11:12" ht="12.75">
      <c r="K25" s="14">
        <v>-78</v>
      </c>
      <c r="L25" s="14">
        <v>0.0007577</v>
      </c>
    </row>
    <row r="26" spans="2:12" ht="12.75">
      <c r="B26" s="6"/>
      <c r="C26" s="6" t="s">
        <v>19</v>
      </c>
      <c r="D26" s="6" t="s">
        <v>20</v>
      </c>
      <c r="E26" s="6" t="s">
        <v>23</v>
      </c>
      <c r="F26" s="6" t="s">
        <v>24</v>
      </c>
      <c r="G26" s="6" t="s">
        <v>21</v>
      </c>
      <c r="H26" s="6" t="s">
        <v>22</v>
      </c>
      <c r="K26" s="14">
        <v>-77</v>
      </c>
      <c r="L26" s="14">
        <v>0.0008894</v>
      </c>
    </row>
    <row r="27" spans="1:12" ht="12.75">
      <c r="A27">
        <v>1</v>
      </c>
      <c r="B27" s="6" t="s">
        <v>19</v>
      </c>
      <c r="C27" s="6">
        <v>1</v>
      </c>
      <c r="D27" s="6">
        <v>60</v>
      </c>
      <c r="E27" s="6">
        <v>3.6</v>
      </c>
      <c r="F27" s="6">
        <v>0.06</v>
      </c>
      <c r="G27" s="9">
        <v>2.11888000329</v>
      </c>
      <c r="H27" s="6">
        <v>15.8503231</v>
      </c>
      <c r="K27" s="14">
        <v>-76</v>
      </c>
      <c r="L27" s="14">
        <v>0.001042</v>
      </c>
    </row>
    <row r="28" spans="1:12" ht="12.75">
      <c r="A28">
        <v>2</v>
      </c>
      <c r="B28" s="6" t="s">
        <v>20</v>
      </c>
      <c r="C28" s="6">
        <f>1/D27</f>
        <v>0.016666666666666666</v>
      </c>
      <c r="D28" s="6">
        <v>1</v>
      </c>
      <c r="E28" s="6">
        <v>0.06</v>
      </c>
      <c r="F28" s="6">
        <v>0.001</v>
      </c>
      <c r="G28" s="9">
        <v>0.035314666721</v>
      </c>
      <c r="H28" s="9">
        <v>0.264172052358148</v>
      </c>
      <c r="K28" s="14">
        <v>-75</v>
      </c>
      <c r="L28" s="14">
        <v>0.00122</v>
      </c>
    </row>
    <row r="29" spans="1:12" ht="12.75">
      <c r="A29">
        <v>3</v>
      </c>
      <c r="B29" s="6" t="s">
        <v>23</v>
      </c>
      <c r="C29" s="6">
        <f>1/E27</f>
        <v>0.2777777777777778</v>
      </c>
      <c r="D29" s="6">
        <f>1/E28</f>
        <v>16.666666666666668</v>
      </c>
      <c r="E29" s="6">
        <v>1</v>
      </c>
      <c r="F29" s="9">
        <f>1/60</f>
        <v>0.016666666666666666</v>
      </c>
      <c r="G29" s="9">
        <v>0.588577778691</v>
      </c>
      <c r="H29" s="9">
        <v>4.40286753930247</v>
      </c>
      <c r="K29" s="14">
        <v>-74</v>
      </c>
      <c r="L29" s="14">
        <v>0.001426</v>
      </c>
    </row>
    <row r="30" spans="1:12" ht="12.75">
      <c r="A30">
        <v>4</v>
      </c>
      <c r="B30" s="6" t="s">
        <v>24</v>
      </c>
      <c r="C30" s="6">
        <f>1/F27</f>
        <v>16.666666666666668</v>
      </c>
      <c r="D30" s="6">
        <f>1/F28</f>
        <v>1000</v>
      </c>
      <c r="E30" s="6">
        <f>1/F29</f>
        <v>60</v>
      </c>
      <c r="F30" s="6">
        <v>1</v>
      </c>
      <c r="G30" s="9">
        <v>35.3146667215</v>
      </c>
      <c r="H30" s="9">
        <v>264.172052358148</v>
      </c>
      <c r="K30" s="14">
        <v>-73</v>
      </c>
      <c r="L30" s="14">
        <v>0.001665</v>
      </c>
    </row>
    <row r="31" spans="1:12" ht="12.75">
      <c r="A31">
        <v>5</v>
      </c>
      <c r="B31" s="6" t="s">
        <v>21</v>
      </c>
      <c r="C31" s="6">
        <f>1/G27</f>
        <v>0.4719474431998475</v>
      </c>
      <c r="D31" s="6">
        <f>1/G28</f>
        <v>28.316846592391776</v>
      </c>
      <c r="E31" s="6">
        <f>1/G29</f>
        <v>1.6990107955213753</v>
      </c>
      <c r="F31" s="6">
        <f>1/G30</f>
        <v>0.028316846591990855</v>
      </c>
      <c r="G31" s="6">
        <v>1</v>
      </c>
      <c r="H31" s="7">
        <v>7.48051948051948</v>
      </c>
      <c r="K31" s="14">
        <v>-72</v>
      </c>
      <c r="L31" s="14">
        <v>0.001936</v>
      </c>
    </row>
    <row r="32" spans="1:12" ht="12.75">
      <c r="A32">
        <v>6</v>
      </c>
      <c r="B32" s="6" t="s">
        <v>22</v>
      </c>
      <c r="C32" s="6">
        <f>1/H27</f>
        <v>0.06309019656514131</v>
      </c>
      <c r="D32" s="6">
        <f>1/H28</f>
        <v>3.785411784000006</v>
      </c>
      <c r="E32" s="6">
        <f>1/H29</f>
        <v>0.22712470704000018</v>
      </c>
      <c r="F32" s="6">
        <f>1/H30</f>
        <v>0.0037854117840000062</v>
      </c>
      <c r="G32" s="6">
        <f>1/H31</f>
        <v>0.13368055555555555</v>
      </c>
      <c r="H32" s="6">
        <v>1</v>
      </c>
      <c r="K32" s="14">
        <v>-71</v>
      </c>
      <c r="L32" s="14">
        <v>0.002252</v>
      </c>
    </row>
    <row r="33" spans="11:12" ht="12.75">
      <c r="K33" s="14">
        <v>-70</v>
      </c>
      <c r="L33" s="14">
        <v>0.002615</v>
      </c>
    </row>
    <row r="34" spans="1:12" ht="12.75">
      <c r="A34" t="s">
        <v>66</v>
      </c>
      <c r="B34">
        <f>VLOOKUP(Hoja2!C2,A27:H32,3)*'Atlas Copco'!D12</f>
        <v>133.33333333333334</v>
      </c>
      <c r="C34" t="s">
        <v>19</v>
      </c>
      <c r="K34" s="14">
        <v>-69</v>
      </c>
      <c r="L34" s="14">
        <v>0.003032</v>
      </c>
    </row>
    <row r="35" spans="2:12" ht="12.75">
      <c r="B35" s="19" t="s">
        <v>62</v>
      </c>
      <c r="C35" s="19" t="s">
        <v>63</v>
      </c>
      <c r="D35" s="19" t="s">
        <v>64</v>
      </c>
      <c r="K35" s="14">
        <v>-68</v>
      </c>
      <c r="L35" s="14">
        <v>0.003511</v>
      </c>
    </row>
    <row r="36" spans="1:12" ht="12.75">
      <c r="A36" s="7" t="s">
        <v>76</v>
      </c>
      <c r="B36" s="6">
        <f>VLOOKUP(B39-273,psat,2)/1000</f>
        <v>0.00611</v>
      </c>
      <c r="C36" s="6">
        <f>VLOOKUP(C39-273,psat,2)/1000</f>
        <v>0.01704</v>
      </c>
      <c r="D36" s="6">
        <f>VLOOKUP(D39-273,psat,2)/1000</f>
        <v>0.00872</v>
      </c>
      <c r="E36" s="12"/>
      <c r="F36" s="12"/>
      <c r="G36" s="12"/>
      <c r="K36" s="14">
        <v>-67</v>
      </c>
      <c r="L36" s="14">
        <v>0.00406</v>
      </c>
    </row>
    <row r="37" spans="1:12" ht="12.75">
      <c r="A37" s="6" t="s">
        <v>70</v>
      </c>
      <c r="B37" s="6">
        <f>'Atlas Copco'!H7</f>
        <v>1.013</v>
      </c>
      <c r="C37" s="6">
        <f>'Atlas Copco'!H12</f>
        <v>1.013</v>
      </c>
      <c r="D37" s="6">
        <f>B2</f>
        <v>2</v>
      </c>
      <c r="E37" s="12"/>
      <c r="F37" s="12"/>
      <c r="G37" s="12"/>
      <c r="K37" s="14">
        <v>-66</v>
      </c>
      <c r="L37" s="14">
        <v>0.00688</v>
      </c>
    </row>
    <row r="38" spans="1:12" ht="12.75">
      <c r="A38" s="6" t="s">
        <v>65</v>
      </c>
      <c r="B38" s="6">
        <f>'Atlas Copco'!H8/100</f>
        <v>0</v>
      </c>
      <c r="C38" s="6">
        <f>'Atlas Copco'!H13/100</f>
        <v>0</v>
      </c>
      <c r="D38" s="6">
        <f>B5</f>
        <v>0.24</v>
      </c>
      <c r="E38" s="12"/>
      <c r="F38" s="12"/>
      <c r="G38" s="12"/>
      <c r="K38" s="14">
        <v>-65</v>
      </c>
      <c r="L38" s="14">
        <v>0.005406</v>
      </c>
    </row>
    <row r="39" spans="1:12" ht="12.75">
      <c r="A39" s="6" t="s">
        <v>7</v>
      </c>
      <c r="B39" s="6">
        <f>'Atlas Copco'!H9+273</f>
        <v>273</v>
      </c>
      <c r="C39" s="6">
        <f>'Atlas Copco'!H14+273</f>
        <v>288.56</v>
      </c>
      <c r="D39" s="6">
        <f>B3</f>
        <v>278</v>
      </c>
      <c r="E39" s="13"/>
      <c r="F39" s="12"/>
      <c r="G39" s="12"/>
      <c r="K39" s="14">
        <v>-64</v>
      </c>
      <c r="L39" s="14">
        <v>0.006225</v>
      </c>
    </row>
    <row r="40" spans="1:12" ht="12.75">
      <c r="A40" s="7" t="s">
        <v>67</v>
      </c>
      <c r="B40" s="8">
        <f>B34</f>
        <v>133.33333333333334</v>
      </c>
      <c r="C40" s="8">
        <f>C42*(C37-D10)/(B37-C10)*B39/C39</f>
        <v>126.14360964790684</v>
      </c>
      <c r="D40" s="8">
        <f>D41*(D37-B10)/(B37-C10)*B39/D39</f>
        <v>258.23937048584236</v>
      </c>
      <c r="E40" s="12"/>
      <c r="F40" s="12"/>
      <c r="G40" s="12"/>
      <c r="K40" s="14">
        <v>-63</v>
      </c>
      <c r="L40" s="14">
        <v>0.007159</v>
      </c>
    </row>
    <row r="41" spans="1:12" ht="12.75">
      <c r="A41" s="7" t="s">
        <v>68</v>
      </c>
      <c r="B41" s="8">
        <f>B40*(B37-C10)/(D37-B10)*D39/B39</f>
        <v>68.84224409442798</v>
      </c>
      <c r="C41" s="8">
        <f>C42*(C37-D10)/(D37-B10)*D39/C39</f>
        <v>65.13006874750083</v>
      </c>
      <c r="D41" s="8">
        <f>B34</f>
        <v>133.33333333333334</v>
      </c>
      <c r="E41" s="12"/>
      <c r="F41" s="12"/>
      <c r="G41" s="12"/>
      <c r="K41" s="14">
        <v>-62</v>
      </c>
      <c r="L41" s="14">
        <v>0.008223</v>
      </c>
    </row>
    <row r="42" spans="1:12" ht="12.75">
      <c r="A42" s="7" t="s">
        <v>69</v>
      </c>
      <c r="B42" s="8">
        <f>B40*(B37-C10)/(C37-D10)*C39/B39</f>
        <v>140.93284493284494</v>
      </c>
      <c r="C42" s="8">
        <f>B34</f>
        <v>133.33333333333334</v>
      </c>
      <c r="D42" s="8">
        <f>D41*(D37-B10)/(C37-D10)*C39/D39</f>
        <v>272.9580686717754</v>
      </c>
      <c r="E42" s="12"/>
      <c r="F42" s="12"/>
      <c r="G42" s="12"/>
      <c r="K42" s="14">
        <v>-61</v>
      </c>
      <c r="L42" s="14">
        <v>0.0094332</v>
      </c>
    </row>
    <row r="43" spans="1:12" ht="12.75">
      <c r="A43" s="12"/>
      <c r="B43" s="16"/>
      <c r="C43" s="16"/>
      <c r="D43" s="16"/>
      <c r="K43" s="14">
        <v>-60</v>
      </c>
      <c r="L43" s="14">
        <v>0.0108</v>
      </c>
    </row>
    <row r="44" spans="1:12" ht="12.75">
      <c r="A44" s="7" t="s">
        <v>58</v>
      </c>
      <c r="B44" s="6">
        <f>B41*$B$18/1000</f>
        <v>0.17246892365890928</v>
      </c>
      <c r="C44" s="6">
        <f>C41*$B$18/1000</f>
        <v>0.16316889436818077</v>
      </c>
      <c r="D44" s="6">
        <f>D41*$B$18/1000</f>
        <v>0.3340369970553565</v>
      </c>
      <c r="K44" s="14">
        <v>-59</v>
      </c>
      <c r="L44" s="14">
        <v>0.01236</v>
      </c>
    </row>
    <row r="45" spans="1:12" ht="12.75">
      <c r="A45" s="12"/>
      <c r="B45" s="16"/>
      <c r="C45" s="16"/>
      <c r="D45" s="16"/>
      <c r="K45" s="14">
        <v>-58</v>
      </c>
      <c r="L45" s="14">
        <v>0.01413</v>
      </c>
    </row>
    <row r="46" spans="1:12" ht="12.75">
      <c r="A46" s="12" t="s">
        <v>66</v>
      </c>
      <c r="B46" s="17">
        <f>D40</f>
        <v>258.23937048584236</v>
      </c>
      <c r="C46" s="17">
        <f>D42</f>
        <v>272.9580686717754</v>
      </c>
      <c r="D46" s="17">
        <f>B41</f>
        <v>68.84224409442798</v>
      </c>
      <c r="E46" s="11">
        <f>B42</f>
        <v>140.93284493284494</v>
      </c>
      <c r="F46" s="11">
        <f>C41</f>
        <v>65.13006874750083</v>
      </c>
      <c r="G46" s="11">
        <f>C40</f>
        <v>126.14360964790684</v>
      </c>
      <c r="K46" s="14">
        <v>-57</v>
      </c>
      <c r="L46" s="14">
        <v>0.1612</v>
      </c>
    </row>
    <row r="47" spans="1:12" ht="12.75">
      <c r="A47" s="12" t="s">
        <v>72</v>
      </c>
      <c r="B47" s="16">
        <f>$D$44</f>
        <v>0.3340369970553565</v>
      </c>
      <c r="C47" s="16">
        <f>$D$44</f>
        <v>0.3340369970553565</v>
      </c>
      <c r="D47" s="16">
        <f>$B$44</f>
        <v>0.17246892365890928</v>
      </c>
      <c r="E47" s="16">
        <f>$B$44</f>
        <v>0.17246892365890928</v>
      </c>
      <c r="F47" s="16">
        <f>$C$44</f>
        <v>0.16316889436818077</v>
      </c>
      <c r="G47" s="16">
        <f>$C$44</f>
        <v>0.16316889436818077</v>
      </c>
      <c r="K47" s="14">
        <v>-56</v>
      </c>
      <c r="L47" s="14">
        <v>0.01838</v>
      </c>
    </row>
    <row r="48" spans="1:12" ht="12.75">
      <c r="A48" t="s">
        <v>71</v>
      </c>
      <c r="B48">
        <f>VLOOKUP(A46,A46:G46,Hoja2!B2+1)*VLOOKUP(Hoja3!$A$27,Hoja3!$A$27:$H$32,Hoja2!$H$2+2)</f>
        <v>258.23937048584236</v>
      </c>
      <c r="K48" s="14">
        <v>-55</v>
      </c>
      <c r="L48" s="14">
        <v>0.02092</v>
      </c>
    </row>
    <row r="49" spans="1:12" ht="12.75">
      <c r="A49" t="s">
        <v>73</v>
      </c>
      <c r="B49">
        <f>VLOOKUP(A47,A47:G47,Hoja2!B2+1)</f>
        <v>0.3340369970553565</v>
      </c>
      <c r="K49" s="14">
        <v>-54</v>
      </c>
      <c r="L49" s="14">
        <v>0.0238</v>
      </c>
    </row>
    <row r="50" spans="11:12" ht="12.75">
      <c r="K50" s="14">
        <v>-53</v>
      </c>
      <c r="L50" s="14">
        <v>0.02703</v>
      </c>
    </row>
    <row r="51" spans="2:12" ht="12.75">
      <c r="B51" s="16"/>
      <c r="C51" s="16"/>
      <c r="D51" s="16"/>
      <c r="E51" s="16"/>
      <c r="F51" s="16"/>
      <c r="G51" s="16"/>
      <c r="K51" s="14">
        <v>-52</v>
      </c>
      <c r="L51" s="14">
        <v>0.03067</v>
      </c>
    </row>
    <row r="52" spans="11:12" ht="12.75">
      <c r="K52" s="14">
        <v>-51</v>
      </c>
      <c r="L52" s="14">
        <v>0.03476</v>
      </c>
    </row>
    <row r="53" spans="11:12" ht="12.75">
      <c r="K53" s="14">
        <v>-50</v>
      </c>
      <c r="L53" s="14">
        <v>0.03935</v>
      </c>
    </row>
    <row r="54" spans="11:12" ht="12.75">
      <c r="K54" s="14">
        <v>-49</v>
      </c>
      <c r="L54" s="14">
        <v>0.04449</v>
      </c>
    </row>
    <row r="55" spans="6:12" ht="12.75">
      <c r="F55" s="261" t="s">
        <v>393</v>
      </c>
      <c r="K55" s="14">
        <v>-48</v>
      </c>
      <c r="L55" s="14">
        <v>0.05026</v>
      </c>
    </row>
    <row r="56" spans="6:12" ht="12.75">
      <c r="F56" s="261" t="s">
        <v>392</v>
      </c>
      <c r="K56" s="14">
        <v>-47</v>
      </c>
      <c r="L56" s="14">
        <v>0.05671</v>
      </c>
    </row>
    <row r="57" spans="11:12" ht="12.75">
      <c r="K57" s="14">
        <v>-46</v>
      </c>
      <c r="L57" s="14">
        <v>0.06393</v>
      </c>
    </row>
    <row r="58" spans="11:12" ht="12.75">
      <c r="K58" s="14">
        <v>-45</v>
      </c>
      <c r="L58" s="14">
        <v>0.07198</v>
      </c>
    </row>
    <row r="59" spans="11:12" ht="12.75">
      <c r="K59" s="14">
        <v>-44</v>
      </c>
      <c r="L59" s="14">
        <v>0.08097</v>
      </c>
    </row>
    <row r="60" spans="11:12" ht="12.75">
      <c r="K60" s="14">
        <v>-43</v>
      </c>
      <c r="L60" s="14">
        <v>0.09098</v>
      </c>
    </row>
    <row r="61" spans="11:12" ht="12.75">
      <c r="K61" s="14">
        <v>-42</v>
      </c>
      <c r="L61" s="14">
        <v>0.1021</v>
      </c>
    </row>
    <row r="62" spans="11:12" ht="12.75">
      <c r="K62" s="14">
        <v>-41</v>
      </c>
      <c r="L62" s="14">
        <v>0.1145</v>
      </c>
    </row>
    <row r="63" spans="11:12" ht="12.75">
      <c r="K63" s="14">
        <v>-40</v>
      </c>
      <c r="L63" s="14">
        <v>0.1283</v>
      </c>
    </row>
    <row r="64" spans="11:12" ht="12.75">
      <c r="K64" s="14">
        <v>-39</v>
      </c>
      <c r="L64" s="14">
        <v>0.1436</v>
      </c>
    </row>
    <row r="65" spans="11:12" ht="12.75">
      <c r="K65" s="14">
        <v>-38</v>
      </c>
      <c r="L65" s="14">
        <v>0.1606</v>
      </c>
    </row>
    <row r="66" spans="11:12" ht="12.75">
      <c r="K66" s="14">
        <v>-37</v>
      </c>
      <c r="L66" s="14">
        <v>0.1794</v>
      </c>
    </row>
    <row r="67" spans="11:12" ht="12.75">
      <c r="K67" s="14">
        <v>-36</v>
      </c>
      <c r="L67" s="14">
        <v>0.2002</v>
      </c>
    </row>
    <row r="68" spans="11:12" ht="12.75">
      <c r="K68" s="14">
        <v>-35</v>
      </c>
      <c r="L68" s="14">
        <v>0.2233</v>
      </c>
    </row>
    <row r="69" spans="11:12" ht="12.75">
      <c r="K69" s="14">
        <v>-34</v>
      </c>
      <c r="L69" s="14">
        <v>0.2488</v>
      </c>
    </row>
    <row r="70" spans="11:12" ht="12.75">
      <c r="K70" s="14">
        <v>-33</v>
      </c>
      <c r="L70" s="14">
        <v>0.2769</v>
      </c>
    </row>
    <row r="71" spans="11:12" ht="12.75">
      <c r="K71" s="14">
        <v>-32</v>
      </c>
      <c r="L71" s="14">
        <v>0.3079</v>
      </c>
    </row>
    <row r="72" spans="11:12" ht="12.75">
      <c r="K72" s="14">
        <v>-31</v>
      </c>
      <c r="L72" s="14">
        <v>0.3421</v>
      </c>
    </row>
    <row r="73" spans="11:12" ht="12.75">
      <c r="K73" s="14">
        <v>-30</v>
      </c>
      <c r="L73" s="14">
        <v>0.38</v>
      </c>
    </row>
    <row r="74" spans="11:12" ht="12.75">
      <c r="K74" s="14">
        <v>-29</v>
      </c>
      <c r="L74" s="14">
        <v>0.421</v>
      </c>
    </row>
    <row r="75" spans="11:12" ht="12.75">
      <c r="K75" s="14">
        <v>-28</v>
      </c>
      <c r="L75" s="14">
        <v>0.467</v>
      </c>
    </row>
    <row r="76" spans="11:12" ht="12.75">
      <c r="K76" s="14">
        <v>-27</v>
      </c>
      <c r="L76" s="14">
        <v>0.517</v>
      </c>
    </row>
    <row r="77" spans="11:12" ht="12.75">
      <c r="K77" s="14">
        <v>-26</v>
      </c>
      <c r="L77" s="14">
        <v>0.572</v>
      </c>
    </row>
    <row r="78" spans="11:12" ht="12.75">
      <c r="K78" s="14">
        <v>-25</v>
      </c>
      <c r="L78" s="14">
        <v>0.632</v>
      </c>
    </row>
    <row r="79" spans="11:12" ht="12.75">
      <c r="K79" s="14">
        <v>-24</v>
      </c>
      <c r="L79" s="14">
        <v>0.689</v>
      </c>
    </row>
    <row r="80" spans="11:12" ht="12.75">
      <c r="K80" s="14">
        <v>-23</v>
      </c>
      <c r="L80" s="14">
        <v>0.771</v>
      </c>
    </row>
    <row r="81" spans="11:12" ht="12.75">
      <c r="K81" s="14">
        <v>-22</v>
      </c>
      <c r="L81" s="14">
        <v>0.85</v>
      </c>
    </row>
    <row r="82" spans="11:12" ht="12.75">
      <c r="K82" s="14">
        <v>-21</v>
      </c>
      <c r="L82" s="14">
        <v>0.937</v>
      </c>
    </row>
    <row r="83" spans="11:12" ht="12.75">
      <c r="K83" s="14">
        <v>-20</v>
      </c>
      <c r="L83" s="14">
        <v>1.03</v>
      </c>
    </row>
    <row r="84" spans="11:12" ht="12.75">
      <c r="K84" s="14">
        <v>-19</v>
      </c>
      <c r="L84" s="14">
        <v>1.14</v>
      </c>
    </row>
    <row r="85" spans="11:12" ht="12.75">
      <c r="K85" s="14">
        <v>-18</v>
      </c>
      <c r="L85" s="14">
        <v>1.25</v>
      </c>
    </row>
    <row r="86" spans="11:12" ht="12.75">
      <c r="K86" s="14">
        <v>-17</v>
      </c>
      <c r="L86" s="14">
        <v>1.37</v>
      </c>
    </row>
    <row r="87" spans="11:12" ht="12.75">
      <c r="K87" s="14">
        <v>-16</v>
      </c>
      <c r="L87" s="14">
        <v>1.51</v>
      </c>
    </row>
    <row r="88" spans="11:12" ht="12.75">
      <c r="K88" s="14">
        <v>-15</v>
      </c>
      <c r="L88" s="14">
        <v>1.65</v>
      </c>
    </row>
    <row r="89" spans="11:12" ht="12.75">
      <c r="K89" s="14">
        <v>-14</v>
      </c>
      <c r="L89" s="14">
        <v>1.81</v>
      </c>
    </row>
    <row r="90" spans="11:12" ht="12.75">
      <c r="K90" s="14">
        <v>-13</v>
      </c>
      <c r="L90" s="14">
        <v>1.98</v>
      </c>
    </row>
    <row r="91" spans="11:12" ht="12.75">
      <c r="K91" s="14">
        <v>-12</v>
      </c>
      <c r="L91" s="14">
        <v>2.17</v>
      </c>
    </row>
    <row r="92" spans="11:12" ht="12.75">
      <c r="K92" s="14">
        <v>-11</v>
      </c>
      <c r="L92" s="14">
        <v>2.38</v>
      </c>
    </row>
    <row r="93" spans="11:12" ht="12.75">
      <c r="K93" s="14">
        <v>-10</v>
      </c>
      <c r="L93" s="14">
        <v>2.6</v>
      </c>
    </row>
    <row r="94" spans="11:12" ht="12.75">
      <c r="K94" s="14">
        <v>-9</v>
      </c>
      <c r="L94" s="14">
        <v>2.84</v>
      </c>
    </row>
    <row r="95" spans="11:12" ht="12.75">
      <c r="K95" s="14">
        <v>-8</v>
      </c>
      <c r="L95" s="14">
        <v>3.1</v>
      </c>
    </row>
    <row r="96" spans="11:12" ht="12.75">
      <c r="K96" s="14">
        <v>-7</v>
      </c>
      <c r="L96" s="14">
        <v>3.38</v>
      </c>
    </row>
    <row r="97" spans="11:12" ht="12.75">
      <c r="K97" s="14">
        <v>-6</v>
      </c>
      <c r="L97" s="14">
        <v>3.69</v>
      </c>
    </row>
    <row r="98" spans="11:12" ht="12.75">
      <c r="K98" s="14">
        <v>-5</v>
      </c>
      <c r="L98" s="14">
        <v>4.02</v>
      </c>
    </row>
    <row r="99" spans="11:12" ht="12.75">
      <c r="K99" s="14">
        <v>-4</v>
      </c>
      <c r="L99" s="14">
        <v>4.37</v>
      </c>
    </row>
    <row r="100" spans="11:12" ht="12.75">
      <c r="K100" s="14">
        <v>-3</v>
      </c>
      <c r="L100" s="14">
        <v>4.76</v>
      </c>
    </row>
    <row r="101" spans="11:12" ht="12.75">
      <c r="K101" s="14">
        <v>-2</v>
      </c>
      <c r="L101" s="14">
        <v>5.17</v>
      </c>
    </row>
    <row r="102" spans="11:12" ht="12.75">
      <c r="K102" s="14">
        <v>-1</v>
      </c>
      <c r="L102" s="14">
        <v>5.62</v>
      </c>
    </row>
    <row r="103" spans="11:12" ht="12.75">
      <c r="K103" s="14">
        <v>0</v>
      </c>
      <c r="L103" s="14">
        <v>6.11</v>
      </c>
    </row>
    <row r="104" spans="11:12" ht="12.75">
      <c r="K104" s="14">
        <v>1</v>
      </c>
      <c r="L104" s="14">
        <v>6.57</v>
      </c>
    </row>
    <row r="105" spans="11:12" ht="12.75">
      <c r="K105" s="14">
        <v>2</v>
      </c>
      <c r="L105" s="14">
        <v>7.06</v>
      </c>
    </row>
    <row r="106" spans="11:12" ht="12.75">
      <c r="K106" s="14">
        <v>3</v>
      </c>
      <c r="L106" s="14">
        <v>7.58</v>
      </c>
    </row>
    <row r="107" spans="11:12" ht="12.75">
      <c r="K107" s="14">
        <v>4</v>
      </c>
      <c r="L107" s="14">
        <v>8.13</v>
      </c>
    </row>
    <row r="108" spans="11:12" ht="12.75">
      <c r="K108" s="14">
        <v>5</v>
      </c>
      <c r="L108" s="14">
        <v>8.72</v>
      </c>
    </row>
    <row r="109" spans="11:12" ht="12.75">
      <c r="K109" s="14">
        <v>6</v>
      </c>
      <c r="L109" s="14">
        <v>9.35</v>
      </c>
    </row>
    <row r="110" spans="11:12" ht="12.75">
      <c r="K110" s="14">
        <v>7</v>
      </c>
      <c r="L110" s="14">
        <v>10.01</v>
      </c>
    </row>
    <row r="111" spans="11:12" ht="12.75">
      <c r="K111" s="14">
        <v>8</v>
      </c>
      <c r="L111" s="14">
        <v>10.72</v>
      </c>
    </row>
    <row r="112" spans="11:12" ht="12.75">
      <c r="K112" s="14">
        <v>9</v>
      </c>
      <c r="L112" s="14">
        <v>11.47</v>
      </c>
    </row>
    <row r="113" spans="11:12" ht="12.75">
      <c r="K113" s="14">
        <v>10</v>
      </c>
      <c r="L113" s="14">
        <v>12.27</v>
      </c>
    </row>
    <row r="114" spans="11:12" ht="12.75">
      <c r="K114" s="14">
        <v>11</v>
      </c>
      <c r="L114" s="14">
        <v>13.12</v>
      </c>
    </row>
    <row r="115" spans="11:12" ht="12.75">
      <c r="K115" s="14">
        <v>12</v>
      </c>
      <c r="L115" s="14">
        <v>14.02</v>
      </c>
    </row>
    <row r="116" spans="11:12" ht="12.75">
      <c r="K116" s="14">
        <v>13</v>
      </c>
      <c r="L116" s="14">
        <v>14.97</v>
      </c>
    </row>
    <row r="117" spans="11:12" ht="12.75">
      <c r="K117" s="14">
        <v>14</v>
      </c>
      <c r="L117" s="14">
        <v>15.98</v>
      </c>
    </row>
    <row r="118" spans="11:12" ht="12.75">
      <c r="K118" s="14">
        <v>15</v>
      </c>
      <c r="L118" s="14">
        <v>17.04</v>
      </c>
    </row>
    <row r="119" spans="11:12" ht="12.75">
      <c r="K119" s="14">
        <v>16</v>
      </c>
      <c r="L119" s="14">
        <v>18.17</v>
      </c>
    </row>
    <row r="120" spans="11:12" ht="12.75">
      <c r="K120" s="14">
        <v>17</v>
      </c>
      <c r="L120" s="14">
        <v>19.37</v>
      </c>
    </row>
    <row r="121" spans="11:12" ht="12.75">
      <c r="K121" s="14">
        <v>18</v>
      </c>
      <c r="L121" s="14">
        <v>20.63</v>
      </c>
    </row>
    <row r="122" spans="11:12" ht="12.75">
      <c r="K122" s="14">
        <v>19</v>
      </c>
      <c r="L122" s="14">
        <v>21.96</v>
      </c>
    </row>
    <row r="123" spans="11:12" ht="12.75">
      <c r="K123" s="14">
        <v>20</v>
      </c>
      <c r="L123" s="14">
        <v>23.37</v>
      </c>
    </row>
    <row r="124" spans="11:12" ht="12.75">
      <c r="K124" s="14">
        <v>21</v>
      </c>
      <c r="L124" s="14">
        <v>24.86</v>
      </c>
    </row>
    <row r="125" spans="11:12" ht="12.75">
      <c r="K125" s="14">
        <v>22</v>
      </c>
      <c r="L125" s="14">
        <v>26.43</v>
      </c>
    </row>
    <row r="126" spans="11:12" ht="12.75">
      <c r="K126" s="14">
        <v>23</v>
      </c>
      <c r="L126" s="14">
        <v>28.09</v>
      </c>
    </row>
    <row r="127" spans="11:12" ht="12.75">
      <c r="K127" s="14">
        <v>24</v>
      </c>
      <c r="L127" s="14">
        <v>29.83</v>
      </c>
    </row>
    <row r="128" spans="11:12" ht="12.75">
      <c r="K128" s="14">
        <v>25</v>
      </c>
      <c r="L128" s="14">
        <v>31.67</v>
      </c>
    </row>
    <row r="129" spans="11:12" ht="12.75">
      <c r="K129" s="14">
        <v>26</v>
      </c>
      <c r="L129" s="14">
        <v>33.61</v>
      </c>
    </row>
    <row r="130" spans="11:12" ht="12.75">
      <c r="K130" s="14">
        <v>27</v>
      </c>
      <c r="L130" s="14">
        <v>35.65</v>
      </c>
    </row>
    <row r="131" spans="11:12" ht="12.75">
      <c r="K131" s="14">
        <v>28</v>
      </c>
      <c r="L131" s="14">
        <v>37.8</v>
      </c>
    </row>
    <row r="132" spans="11:12" ht="12.75">
      <c r="K132" s="14">
        <v>29</v>
      </c>
      <c r="L132" s="14">
        <v>40.06</v>
      </c>
    </row>
    <row r="133" spans="11:12" ht="12.75">
      <c r="K133" s="14">
        <v>30</v>
      </c>
      <c r="L133" s="14">
        <v>42.43</v>
      </c>
    </row>
    <row r="134" spans="11:12" ht="12.75">
      <c r="K134" s="14">
        <v>31</v>
      </c>
      <c r="L134" s="14">
        <v>44.93</v>
      </c>
    </row>
    <row r="135" spans="11:12" ht="12.75">
      <c r="K135" s="14">
        <v>32</v>
      </c>
      <c r="L135" s="14">
        <v>47.55</v>
      </c>
    </row>
    <row r="136" spans="11:12" ht="12.75">
      <c r="K136" s="14">
        <v>33</v>
      </c>
      <c r="L136" s="14">
        <v>50.31</v>
      </c>
    </row>
    <row r="137" spans="11:12" ht="12.75">
      <c r="K137" s="14">
        <v>34</v>
      </c>
      <c r="L137" s="14">
        <v>53.2</v>
      </c>
    </row>
    <row r="138" spans="11:12" ht="12.75">
      <c r="K138" s="14">
        <v>35</v>
      </c>
      <c r="L138" s="14">
        <v>56.24</v>
      </c>
    </row>
    <row r="139" spans="11:12" ht="12.75">
      <c r="K139" s="14">
        <v>36</v>
      </c>
      <c r="L139" s="14">
        <v>59.42</v>
      </c>
    </row>
    <row r="140" spans="11:12" ht="12.75">
      <c r="K140" s="14">
        <v>37</v>
      </c>
      <c r="L140" s="14">
        <v>62.76</v>
      </c>
    </row>
    <row r="141" spans="11:12" ht="12.75">
      <c r="K141" s="14">
        <v>38</v>
      </c>
      <c r="L141" s="14">
        <v>66.28</v>
      </c>
    </row>
    <row r="142" spans="11:12" ht="12.75">
      <c r="K142" s="14">
        <v>39</v>
      </c>
      <c r="L142" s="14">
        <v>69.93</v>
      </c>
    </row>
    <row r="143" spans="11:12" ht="12.75">
      <c r="K143" s="14">
        <v>40</v>
      </c>
      <c r="L143" s="14">
        <v>73.78</v>
      </c>
    </row>
    <row r="144" spans="11:12" ht="12.75">
      <c r="K144" s="14">
        <v>41</v>
      </c>
      <c r="L144" s="14">
        <v>77.8</v>
      </c>
    </row>
    <row r="145" spans="11:12" ht="12.75">
      <c r="K145" s="14">
        <v>42</v>
      </c>
      <c r="L145" s="14">
        <v>82.02</v>
      </c>
    </row>
    <row r="146" spans="11:12" ht="12.75">
      <c r="K146" s="14">
        <v>43</v>
      </c>
      <c r="L146" s="14">
        <v>86.42</v>
      </c>
    </row>
    <row r="147" spans="11:12" ht="12.75">
      <c r="K147" s="14">
        <v>44</v>
      </c>
      <c r="L147" s="14">
        <v>91.03</v>
      </c>
    </row>
    <row r="148" spans="11:12" ht="12.75">
      <c r="K148" s="14">
        <v>45</v>
      </c>
      <c r="L148" s="14">
        <v>95.86</v>
      </c>
    </row>
    <row r="149" spans="11:12" ht="12.75">
      <c r="K149" s="14">
        <v>46</v>
      </c>
      <c r="L149" s="14">
        <v>100.9</v>
      </c>
    </row>
    <row r="150" spans="11:12" ht="12.75">
      <c r="K150" s="14">
        <v>47</v>
      </c>
      <c r="L150" s="14">
        <v>106.2</v>
      </c>
    </row>
    <row r="151" spans="11:12" ht="12.75">
      <c r="K151" s="14">
        <v>48</v>
      </c>
      <c r="L151" s="14">
        <v>111.7</v>
      </c>
    </row>
    <row r="152" spans="11:12" ht="12.75">
      <c r="K152" s="14">
        <v>49</v>
      </c>
      <c r="L152" s="14">
        <v>117.4</v>
      </c>
    </row>
    <row r="153" spans="11:12" ht="12.75">
      <c r="K153" s="14">
        <v>50</v>
      </c>
      <c r="L153" s="14">
        <v>123.4</v>
      </c>
    </row>
    <row r="154" spans="11:12" ht="12.75">
      <c r="K154" s="14">
        <v>51</v>
      </c>
      <c r="L154" s="14">
        <v>129.7</v>
      </c>
    </row>
    <row r="155" spans="11:12" ht="12.75">
      <c r="K155" s="14">
        <v>52</v>
      </c>
      <c r="L155" s="14">
        <v>136.2</v>
      </c>
    </row>
    <row r="156" spans="11:12" ht="12.75">
      <c r="K156" s="14">
        <v>53</v>
      </c>
      <c r="L156" s="14">
        <v>143</v>
      </c>
    </row>
    <row r="157" spans="11:12" ht="12.75">
      <c r="K157" s="14">
        <v>54</v>
      </c>
      <c r="L157" s="14">
        <v>150.1</v>
      </c>
    </row>
    <row r="158" spans="11:12" ht="12.75">
      <c r="K158" s="14">
        <v>55</v>
      </c>
      <c r="L158" s="14">
        <v>157.5</v>
      </c>
    </row>
    <row r="159" spans="11:12" ht="12.75">
      <c r="K159" s="14">
        <v>56</v>
      </c>
      <c r="L159" s="14">
        <v>165.2</v>
      </c>
    </row>
    <row r="160" spans="11:12" ht="12.75">
      <c r="K160" s="14">
        <v>57</v>
      </c>
      <c r="L160" s="14">
        <v>173.2</v>
      </c>
    </row>
    <row r="161" spans="11:12" ht="12.75">
      <c r="K161" s="14">
        <v>58</v>
      </c>
      <c r="L161" s="14">
        <v>181.5</v>
      </c>
    </row>
    <row r="162" spans="11:12" ht="12.75">
      <c r="K162" s="14">
        <v>59</v>
      </c>
      <c r="L162" s="14">
        <v>190.2</v>
      </c>
    </row>
    <row r="163" spans="11:12" ht="12.75">
      <c r="K163" s="14">
        <v>60</v>
      </c>
      <c r="L163" s="14">
        <v>199.2</v>
      </c>
    </row>
    <row r="164" spans="11:12" ht="12.75">
      <c r="K164" s="14">
        <v>61</v>
      </c>
      <c r="L164" s="14">
        <v>208.6</v>
      </c>
    </row>
    <row r="165" spans="11:12" ht="12.75">
      <c r="K165" s="14">
        <v>62</v>
      </c>
      <c r="L165" s="14">
        <v>218.4</v>
      </c>
    </row>
    <row r="166" spans="11:12" ht="12.75">
      <c r="K166" s="14">
        <v>63</v>
      </c>
      <c r="L166" s="14">
        <v>228.5</v>
      </c>
    </row>
    <row r="167" spans="11:12" ht="12.75">
      <c r="K167" s="14">
        <v>64</v>
      </c>
      <c r="L167" s="14">
        <v>239.1</v>
      </c>
    </row>
    <row r="168" spans="11:12" ht="12.75">
      <c r="K168" s="14">
        <v>65</v>
      </c>
      <c r="L168" s="14">
        <v>250.1</v>
      </c>
    </row>
    <row r="169" spans="11:12" ht="12.75">
      <c r="K169" s="14">
        <v>66</v>
      </c>
      <c r="L169" s="14">
        <v>261.5</v>
      </c>
    </row>
    <row r="170" spans="11:12" ht="12.75">
      <c r="K170" s="14">
        <v>67</v>
      </c>
      <c r="L170" s="14">
        <v>273.3</v>
      </c>
    </row>
    <row r="171" spans="11:12" ht="12.75">
      <c r="K171" s="14">
        <v>68</v>
      </c>
      <c r="L171" s="14">
        <v>285.6</v>
      </c>
    </row>
    <row r="172" spans="11:12" ht="12.75">
      <c r="K172" s="14">
        <v>69</v>
      </c>
      <c r="L172" s="14">
        <v>298.4</v>
      </c>
    </row>
    <row r="173" spans="11:12" ht="12.75">
      <c r="K173" s="14">
        <v>70</v>
      </c>
      <c r="L173" s="14">
        <v>311.6</v>
      </c>
    </row>
    <row r="174" spans="11:12" ht="12.75">
      <c r="K174" s="14">
        <v>71</v>
      </c>
      <c r="L174" s="14">
        <v>325.3</v>
      </c>
    </row>
    <row r="175" spans="11:12" ht="12.75">
      <c r="K175" s="14">
        <v>72</v>
      </c>
      <c r="L175" s="14">
        <v>339.6</v>
      </c>
    </row>
    <row r="176" spans="11:12" ht="12.75">
      <c r="K176" s="14">
        <v>73</v>
      </c>
      <c r="L176" s="14">
        <v>354.3</v>
      </c>
    </row>
    <row r="177" spans="11:12" ht="12.75">
      <c r="K177" s="14">
        <v>74</v>
      </c>
      <c r="L177" s="14">
        <v>369.6</v>
      </c>
    </row>
    <row r="178" spans="11:12" ht="12.75">
      <c r="K178" s="14">
        <v>75</v>
      </c>
      <c r="L178" s="14">
        <v>385.5</v>
      </c>
    </row>
    <row r="179" spans="11:12" ht="12.75">
      <c r="K179" s="14">
        <v>76</v>
      </c>
      <c r="L179" s="14">
        <v>401.9</v>
      </c>
    </row>
    <row r="180" spans="11:12" ht="12.75">
      <c r="K180" s="14">
        <v>77</v>
      </c>
      <c r="L180" s="14">
        <v>418.9</v>
      </c>
    </row>
    <row r="181" spans="11:12" ht="12.75">
      <c r="K181" s="14">
        <v>78</v>
      </c>
      <c r="L181" s="14">
        <v>436.5</v>
      </c>
    </row>
    <row r="182" spans="11:12" ht="12.75">
      <c r="K182" s="14">
        <v>79</v>
      </c>
      <c r="L182" s="14">
        <v>454.7</v>
      </c>
    </row>
    <row r="183" spans="11:12" ht="12.75">
      <c r="K183" s="14">
        <v>80</v>
      </c>
      <c r="L183" s="14">
        <v>473.6</v>
      </c>
    </row>
    <row r="184" spans="11:12" ht="12.75">
      <c r="K184" s="14">
        <v>81</v>
      </c>
      <c r="L184" s="14">
        <v>493.1</v>
      </c>
    </row>
    <row r="185" spans="11:12" ht="12.75">
      <c r="K185" s="14">
        <v>82</v>
      </c>
      <c r="L185" s="14">
        <v>513.3</v>
      </c>
    </row>
    <row r="186" spans="11:12" ht="12.75">
      <c r="K186" s="14">
        <v>83</v>
      </c>
      <c r="L186" s="14">
        <v>534.2</v>
      </c>
    </row>
    <row r="187" spans="11:12" ht="12.75">
      <c r="K187" s="14">
        <v>84</v>
      </c>
      <c r="L187" s="14">
        <v>555.7</v>
      </c>
    </row>
    <row r="188" spans="11:12" ht="12.75">
      <c r="K188" s="14">
        <v>85</v>
      </c>
      <c r="L188" s="14">
        <v>578</v>
      </c>
    </row>
    <row r="189" spans="11:12" ht="12.75">
      <c r="K189" s="14">
        <v>86</v>
      </c>
      <c r="L189" s="14">
        <v>601</v>
      </c>
    </row>
    <row r="190" spans="11:12" ht="12.75">
      <c r="K190" s="14">
        <v>87</v>
      </c>
      <c r="L190" s="14">
        <v>624.9</v>
      </c>
    </row>
    <row r="191" spans="11:12" ht="12.75">
      <c r="K191" s="14">
        <v>88</v>
      </c>
      <c r="L191" s="14">
        <v>649.5</v>
      </c>
    </row>
    <row r="192" spans="11:12" ht="12.75">
      <c r="K192" s="14">
        <v>89</v>
      </c>
      <c r="L192" s="14">
        <v>674.9</v>
      </c>
    </row>
    <row r="193" spans="11:12" ht="12.75">
      <c r="K193" s="14">
        <v>90</v>
      </c>
      <c r="L193" s="14">
        <v>701.1</v>
      </c>
    </row>
    <row r="194" spans="11:12" ht="12.75">
      <c r="K194" s="14">
        <v>91</v>
      </c>
      <c r="L194" s="14">
        <v>728.2</v>
      </c>
    </row>
    <row r="195" spans="11:12" ht="12.75">
      <c r="K195" s="14">
        <v>92</v>
      </c>
      <c r="L195" s="14">
        <v>756.1</v>
      </c>
    </row>
    <row r="196" spans="11:12" ht="12.75">
      <c r="K196" s="14">
        <v>93</v>
      </c>
      <c r="L196" s="14">
        <v>784.9</v>
      </c>
    </row>
    <row r="197" spans="11:12" ht="12.75">
      <c r="K197" s="14">
        <v>94</v>
      </c>
      <c r="L197" s="14">
        <v>814.6</v>
      </c>
    </row>
    <row r="198" spans="11:12" ht="12.75">
      <c r="K198" s="14">
        <v>95</v>
      </c>
      <c r="L198" s="14">
        <v>845.3</v>
      </c>
    </row>
    <row r="199" spans="11:12" ht="12.75">
      <c r="K199" s="14">
        <v>96</v>
      </c>
      <c r="L199" s="14">
        <v>876.9</v>
      </c>
    </row>
    <row r="200" spans="11:12" ht="12.75">
      <c r="K200" s="14">
        <v>97</v>
      </c>
      <c r="L200" s="14">
        <v>909.4</v>
      </c>
    </row>
    <row r="201" spans="11:12" ht="12.75">
      <c r="K201" s="14">
        <v>98</v>
      </c>
      <c r="L201" s="14">
        <v>943</v>
      </c>
    </row>
    <row r="202" spans="11:12" ht="12.75">
      <c r="K202" s="14">
        <v>99</v>
      </c>
      <c r="L202" s="14">
        <v>977.6</v>
      </c>
    </row>
    <row r="203" spans="11:12" ht="12.75">
      <c r="K203" s="14">
        <v>100</v>
      </c>
      <c r="L203" s="14">
        <v>1013.2</v>
      </c>
    </row>
    <row r="204" spans="11:12" ht="12.75">
      <c r="K204" s="14">
        <v>101</v>
      </c>
      <c r="L204" s="14">
        <v>1050</v>
      </c>
    </row>
    <row r="205" spans="11:12" ht="12.75">
      <c r="K205" s="14">
        <v>102</v>
      </c>
      <c r="L205" s="14">
        <v>1088</v>
      </c>
    </row>
    <row r="206" spans="11:12" ht="12.75">
      <c r="K206" s="14">
        <v>103</v>
      </c>
      <c r="L206" s="14">
        <v>1127</v>
      </c>
    </row>
    <row r="207" spans="11:12" ht="12.75">
      <c r="K207" s="14">
        <v>104</v>
      </c>
      <c r="L207" s="14">
        <v>1167</v>
      </c>
    </row>
    <row r="208" spans="11:12" ht="12.75">
      <c r="K208" s="14">
        <v>105</v>
      </c>
      <c r="L208" s="14">
        <v>1208</v>
      </c>
    </row>
    <row r="209" spans="11:12" ht="12.75">
      <c r="K209" s="14">
        <v>106</v>
      </c>
      <c r="L209" s="14">
        <v>1250</v>
      </c>
    </row>
    <row r="210" spans="11:12" ht="12.75">
      <c r="K210" s="14">
        <v>107</v>
      </c>
      <c r="L210" s="14">
        <v>1294</v>
      </c>
    </row>
    <row r="211" spans="11:12" ht="12.75">
      <c r="K211" s="14">
        <v>108</v>
      </c>
      <c r="L211" s="14">
        <v>1339</v>
      </c>
    </row>
    <row r="212" spans="11:12" ht="12.75">
      <c r="K212" s="14">
        <v>109</v>
      </c>
      <c r="L212" s="14">
        <v>1385</v>
      </c>
    </row>
    <row r="213" spans="11:12" ht="12.75">
      <c r="K213" s="14">
        <v>110</v>
      </c>
      <c r="L213" s="14">
        <v>1433</v>
      </c>
    </row>
    <row r="214" spans="11:12" ht="12.75">
      <c r="K214" s="14">
        <v>111</v>
      </c>
      <c r="L214" s="14">
        <v>1481</v>
      </c>
    </row>
    <row r="215" spans="11:12" ht="12.75">
      <c r="K215" s="14">
        <v>112</v>
      </c>
      <c r="L215" s="14">
        <v>1532</v>
      </c>
    </row>
    <row r="216" spans="11:12" ht="12.75">
      <c r="K216" s="14">
        <v>113</v>
      </c>
      <c r="L216" s="14">
        <v>1583</v>
      </c>
    </row>
    <row r="217" spans="11:12" ht="12.75">
      <c r="K217" s="14">
        <v>114</v>
      </c>
      <c r="L217" s="14">
        <v>1636</v>
      </c>
    </row>
    <row r="218" spans="11:12" ht="12.75">
      <c r="K218" s="14">
        <v>115</v>
      </c>
      <c r="L218" s="14">
        <v>1691</v>
      </c>
    </row>
    <row r="219" spans="11:12" ht="12.75">
      <c r="K219" s="14">
        <v>116</v>
      </c>
      <c r="L219" s="14">
        <v>1746</v>
      </c>
    </row>
    <row r="220" spans="11:12" ht="12.75">
      <c r="K220" s="14">
        <v>117</v>
      </c>
      <c r="L220" s="14">
        <v>1804</v>
      </c>
    </row>
    <row r="221" spans="11:12" ht="12.75">
      <c r="K221" s="14">
        <v>118</v>
      </c>
      <c r="L221" s="14">
        <v>1863</v>
      </c>
    </row>
    <row r="222" spans="11:12" ht="12.75">
      <c r="K222" s="14">
        <v>119</v>
      </c>
      <c r="L222" s="14">
        <v>1923</v>
      </c>
    </row>
    <row r="223" spans="11:12" ht="12.75">
      <c r="K223" s="14">
        <v>120</v>
      </c>
      <c r="L223" s="14">
        <v>1985</v>
      </c>
    </row>
    <row r="224" spans="11:12" ht="12.75">
      <c r="K224" s="14">
        <v>121</v>
      </c>
      <c r="L224" s="14">
        <v>2049</v>
      </c>
    </row>
    <row r="225" spans="11:12" ht="12.75">
      <c r="K225" s="14">
        <v>122</v>
      </c>
      <c r="L225" s="14">
        <v>2114</v>
      </c>
    </row>
    <row r="226" spans="11:12" ht="12.75">
      <c r="K226" s="14">
        <v>123</v>
      </c>
      <c r="L226" s="14">
        <v>2182</v>
      </c>
    </row>
    <row r="227" spans="11:12" ht="12.75">
      <c r="K227" s="14">
        <v>124</v>
      </c>
      <c r="L227" s="14">
        <v>2250</v>
      </c>
    </row>
    <row r="228" spans="11:12" ht="12.75">
      <c r="K228" s="14">
        <v>125</v>
      </c>
      <c r="L228" s="14">
        <v>2321</v>
      </c>
    </row>
    <row r="229" spans="11:12" ht="12.75">
      <c r="K229" s="14">
        <v>126</v>
      </c>
      <c r="L229" s="14">
        <v>2393</v>
      </c>
    </row>
    <row r="230" spans="11:12" ht="12.75">
      <c r="K230" s="14">
        <v>127</v>
      </c>
      <c r="L230" s="14">
        <v>2467</v>
      </c>
    </row>
    <row r="231" spans="11:12" ht="12.75">
      <c r="K231" s="14">
        <v>128</v>
      </c>
      <c r="L231" s="14">
        <v>2543</v>
      </c>
    </row>
    <row r="232" spans="11:12" ht="12.75">
      <c r="K232" s="14">
        <v>129</v>
      </c>
      <c r="L232" s="14">
        <v>2621</v>
      </c>
    </row>
    <row r="233" spans="11:12" ht="12.75">
      <c r="K233" s="14">
        <v>130</v>
      </c>
      <c r="L233" s="14">
        <v>2701</v>
      </c>
    </row>
    <row r="234" spans="11:12" ht="12.75">
      <c r="K234" s="14">
        <v>131</v>
      </c>
      <c r="L234" s="14">
        <v>2783</v>
      </c>
    </row>
    <row r="235" spans="11:12" ht="12.75">
      <c r="K235" s="14">
        <v>132</v>
      </c>
      <c r="L235" s="14">
        <v>2867</v>
      </c>
    </row>
    <row r="236" spans="11:12" ht="12.75">
      <c r="K236" s="14">
        <v>133</v>
      </c>
      <c r="L236" s="14">
        <v>2953</v>
      </c>
    </row>
    <row r="237" spans="11:12" ht="12.75">
      <c r="K237" s="14">
        <v>134</v>
      </c>
      <c r="L237" s="14">
        <v>3041</v>
      </c>
    </row>
    <row r="238" spans="11:12" ht="12.75">
      <c r="K238" s="14">
        <v>135</v>
      </c>
      <c r="L238" s="14">
        <v>3131</v>
      </c>
    </row>
    <row r="239" spans="11:12" ht="12.75">
      <c r="K239" s="14">
        <v>136</v>
      </c>
      <c r="L239" s="14">
        <v>3223</v>
      </c>
    </row>
    <row r="240" spans="11:12" ht="12.75">
      <c r="K240" s="14">
        <v>137</v>
      </c>
      <c r="L240" s="14">
        <v>3317</v>
      </c>
    </row>
    <row r="241" spans="11:12" ht="12.75">
      <c r="K241" s="14">
        <v>138</v>
      </c>
      <c r="L241" s="14">
        <v>3414</v>
      </c>
    </row>
    <row r="242" spans="11:12" ht="12.75">
      <c r="K242" s="14">
        <v>139</v>
      </c>
      <c r="L242" s="14">
        <v>3512</v>
      </c>
    </row>
    <row r="243" spans="11:12" ht="12.75">
      <c r="K243" s="14">
        <v>140</v>
      </c>
      <c r="L243" s="15">
        <v>3614</v>
      </c>
    </row>
    <row r="244" spans="11:12" ht="12.75">
      <c r="K244" s="14">
        <v>141</v>
      </c>
      <c r="L244" s="15">
        <f>L243+(L248-L243)/5</f>
        <v>3722.2</v>
      </c>
    </row>
    <row r="245" spans="11:12" ht="12.75">
      <c r="K245" s="14">
        <v>142</v>
      </c>
      <c r="L245" s="15">
        <f>L243+(L248-L243)/5*2</f>
        <v>3830.4</v>
      </c>
    </row>
    <row r="246" spans="11:12" ht="12.75">
      <c r="K246" s="14">
        <v>143</v>
      </c>
      <c r="L246" s="15">
        <f>L243+(L248-L243)/5*3</f>
        <v>3938.6</v>
      </c>
    </row>
    <row r="247" spans="11:12" ht="12.75">
      <c r="K247" s="14">
        <v>144</v>
      </c>
      <c r="L247" s="15">
        <f>L243+(L248-L243)/5*4</f>
        <v>4046.8</v>
      </c>
    </row>
    <row r="248" spans="11:12" ht="12.75">
      <c r="K248" s="14">
        <v>145</v>
      </c>
      <c r="L248" s="15">
        <v>4155</v>
      </c>
    </row>
    <row r="249" spans="11:12" ht="12.75">
      <c r="K249" s="14">
        <v>146</v>
      </c>
      <c r="L249" s="15">
        <f>L248+(L253-L248)/5</f>
        <v>4276</v>
      </c>
    </row>
    <row r="250" spans="11:12" ht="12.75">
      <c r="K250" s="14">
        <v>147</v>
      </c>
      <c r="L250" s="15">
        <f>L248+(L253-L248)/5*2</f>
        <v>4397</v>
      </c>
    </row>
    <row r="251" spans="11:12" ht="12.75">
      <c r="K251" s="14">
        <v>148</v>
      </c>
      <c r="L251" s="15">
        <f>L248+(L253-L248)/5*3</f>
        <v>4518</v>
      </c>
    </row>
    <row r="252" spans="11:12" ht="12.75">
      <c r="K252" s="14">
        <v>149</v>
      </c>
      <c r="L252" s="15">
        <f>L248+(L253-L248)/5*4</f>
        <v>4639</v>
      </c>
    </row>
    <row r="253" spans="11:12" ht="12.75">
      <c r="K253" s="14">
        <v>150</v>
      </c>
      <c r="L253" s="15">
        <v>4760</v>
      </c>
    </row>
    <row r="254" spans="11:12" ht="12.75">
      <c r="K254" s="14">
        <v>151</v>
      </c>
      <c r="L254" s="15">
        <f>L253+(L258-L253)/5</f>
        <v>4894.6</v>
      </c>
    </row>
    <row r="255" spans="11:12" ht="12.75">
      <c r="K255" s="14">
        <v>152</v>
      </c>
      <c r="L255" s="15">
        <f>L253+(L258-L253)/5*2</f>
        <v>5029.2</v>
      </c>
    </row>
    <row r="256" spans="11:12" ht="12.75">
      <c r="K256" s="14">
        <v>153</v>
      </c>
      <c r="L256" s="15">
        <f>L253+(L258-L253)/5*3</f>
        <v>5163.8</v>
      </c>
    </row>
    <row r="257" spans="11:12" ht="12.75">
      <c r="K257" s="14">
        <v>154</v>
      </c>
      <c r="L257" s="15">
        <f>L253+(L258-L253)/5*4</f>
        <v>5298.4</v>
      </c>
    </row>
    <row r="258" spans="11:12" ht="12.75">
      <c r="K258" s="14">
        <v>155</v>
      </c>
      <c r="L258" s="15">
        <v>5433</v>
      </c>
    </row>
    <row r="259" spans="11:12" ht="12.75">
      <c r="K259" s="14">
        <v>156</v>
      </c>
      <c r="L259" s="15">
        <f>L258+(L263-L258)/5</f>
        <v>5582.6</v>
      </c>
    </row>
    <row r="260" spans="11:12" ht="12.75">
      <c r="K260" s="14">
        <v>157</v>
      </c>
      <c r="L260" s="15">
        <f>L258+(L263-L258)/5*2</f>
        <v>5732.2</v>
      </c>
    </row>
    <row r="261" spans="11:12" ht="12.75">
      <c r="K261" s="14">
        <v>158</v>
      </c>
      <c r="L261" s="15">
        <f>L258+(L263-L258)/5*3</f>
        <v>5881.8</v>
      </c>
    </row>
    <row r="262" spans="11:12" ht="12.75">
      <c r="K262" s="14">
        <v>159</v>
      </c>
      <c r="L262" s="15">
        <f>L258+(L263-L258)/5*4</f>
        <v>6031.4</v>
      </c>
    </row>
    <row r="263" spans="11:12" ht="12.75">
      <c r="K263" s="14">
        <v>160</v>
      </c>
      <c r="L263" s="15">
        <v>6181</v>
      </c>
    </row>
    <row r="264" spans="11:12" ht="12.75">
      <c r="K264" s="14">
        <v>161</v>
      </c>
      <c r="L264" s="15">
        <f>L263+(L268-L263)/5</f>
        <v>6346.4</v>
      </c>
    </row>
    <row r="265" spans="11:12" ht="12.75">
      <c r="K265" s="14">
        <v>162</v>
      </c>
      <c r="L265" s="15">
        <f>L263+(L268-L263)/5*2</f>
        <v>6511.8</v>
      </c>
    </row>
    <row r="266" spans="11:12" ht="12.75">
      <c r="K266" s="14">
        <v>163</v>
      </c>
      <c r="L266" s="15">
        <f>L263+(L268-L263)/5*3</f>
        <v>6677.2</v>
      </c>
    </row>
    <row r="267" spans="11:12" ht="12.75">
      <c r="K267" s="14">
        <v>164</v>
      </c>
      <c r="L267" s="15">
        <f>L263+(L268-L263)/5*4</f>
        <v>6842.6</v>
      </c>
    </row>
    <row r="268" spans="11:12" ht="12.75">
      <c r="K268" s="14">
        <v>165</v>
      </c>
      <c r="L268" s="15">
        <v>7008</v>
      </c>
    </row>
    <row r="269" spans="11:12" ht="12.75">
      <c r="K269" s="14">
        <v>166</v>
      </c>
      <c r="L269" s="15">
        <f>L268+(L273-L268)/5</f>
        <v>7190.4</v>
      </c>
    </row>
    <row r="270" spans="11:12" ht="12.75">
      <c r="K270" s="14">
        <v>167</v>
      </c>
      <c r="L270" s="15">
        <f>L268+(L273-L268)/5*2</f>
        <v>7372.8</v>
      </c>
    </row>
    <row r="271" spans="11:12" ht="12.75">
      <c r="K271" s="14">
        <v>168</v>
      </c>
      <c r="L271" s="15">
        <f>L268+(L273-L268)/5*3</f>
        <v>7555.2</v>
      </c>
    </row>
    <row r="272" spans="11:12" ht="12.75">
      <c r="K272" s="14">
        <v>169</v>
      </c>
      <c r="L272" s="15">
        <f>L268+(L273-L268)/5*4</f>
        <v>7737.6</v>
      </c>
    </row>
    <row r="273" spans="11:12" ht="12.75">
      <c r="K273" s="14">
        <v>170</v>
      </c>
      <c r="L273" s="15">
        <v>7920</v>
      </c>
    </row>
    <row r="274" spans="11:12" ht="12.75">
      <c r="K274" s="14">
        <v>171</v>
      </c>
      <c r="L274" s="15">
        <f>L273+(L278-L273)/5</f>
        <v>8120.8</v>
      </c>
    </row>
    <row r="275" spans="11:12" ht="12.75">
      <c r="K275" s="14">
        <v>172</v>
      </c>
      <c r="L275" s="15">
        <f>L273+(L278-L273)/5*2</f>
        <v>8321.6</v>
      </c>
    </row>
    <row r="276" spans="11:12" ht="12.75">
      <c r="K276" s="14">
        <v>173</v>
      </c>
      <c r="L276" s="15">
        <f>L273+(L278-L273)/5*3</f>
        <v>8522.4</v>
      </c>
    </row>
    <row r="277" spans="11:12" ht="12.75">
      <c r="K277" s="14">
        <v>174</v>
      </c>
      <c r="L277" s="15">
        <f>L273+(L278-L273)/5*4</f>
        <v>8723.2</v>
      </c>
    </row>
    <row r="278" spans="11:12" ht="12.75">
      <c r="K278" s="14">
        <v>175</v>
      </c>
      <c r="L278" s="15">
        <v>8924</v>
      </c>
    </row>
    <row r="279" spans="11:12" ht="12.75">
      <c r="K279" s="14">
        <v>176</v>
      </c>
      <c r="L279" s="15">
        <f>L278+(L283-L278)/5</f>
        <v>9144.6</v>
      </c>
    </row>
    <row r="280" spans="11:12" ht="12.75">
      <c r="K280" s="14">
        <v>177</v>
      </c>
      <c r="L280" s="15">
        <f>L278+(L283-L278)/5*2</f>
        <v>9365.2</v>
      </c>
    </row>
    <row r="281" spans="11:12" ht="12.75">
      <c r="K281" s="14">
        <v>178</v>
      </c>
      <c r="L281" s="15">
        <f>L278+(L283-L278)/5*3</f>
        <v>9585.8</v>
      </c>
    </row>
    <row r="282" spans="11:12" ht="12.75">
      <c r="K282" s="14">
        <v>179</v>
      </c>
      <c r="L282" s="15">
        <f>L278+(L283-L278)/5*4</f>
        <v>9806.4</v>
      </c>
    </row>
    <row r="283" spans="11:12" ht="12.75">
      <c r="K283" s="14">
        <v>180</v>
      </c>
      <c r="L283" s="15">
        <v>10027</v>
      </c>
    </row>
    <row r="284" spans="11:12" ht="12.75">
      <c r="K284" s="14">
        <v>181</v>
      </c>
      <c r="L284" s="15">
        <f>L283+(L288-L283)/5</f>
        <v>10268.2</v>
      </c>
    </row>
    <row r="285" spans="11:12" ht="12.75">
      <c r="K285" s="14">
        <v>182</v>
      </c>
      <c r="L285" s="15">
        <f>L283+(L288-L283)/5*2</f>
        <v>10509.4</v>
      </c>
    </row>
    <row r="286" spans="11:12" ht="12.75">
      <c r="K286" s="14">
        <v>183</v>
      </c>
      <c r="L286" s="15">
        <f>L283+(L288-L283)/5*3</f>
        <v>10750.6</v>
      </c>
    </row>
    <row r="287" spans="11:12" ht="12.75">
      <c r="K287" s="14">
        <v>184</v>
      </c>
      <c r="L287" s="15">
        <f>L283+(L288-L283)/5*4</f>
        <v>10991.8</v>
      </c>
    </row>
    <row r="288" spans="11:12" ht="12.75">
      <c r="K288" s="14">
        <v>185</v>
      </c>
      <c r="L288" s="15">
        <v>11233</v>
      </c>
    </row>
    <row r="289" spans="11:12" ht="12.75">
      <c r="K289" s="14">
        <v>186</v>
      </c>
      <c r="L289" s="15">
        <f>L288+(L293-L288)/5</f>
        <v>11496.6</v>
      </c>
    </row>
    <row r="290" spans="11:12" ht="12.75">
      <c r="K290" s="14">
        <v>187</v>
      </c>
      <c r="L290" s="15">
        <f>L288+(L293-L288)/5*2</f>
        <v>11760.2</v>
      </c>
    </row>
    <row r="291" spans="11:12" ht="12.75">
      <c r="K291" s="14">
        <v>188</v>
      </c>
      <c r="L291" s="15">
        <f>L288+(L293-L288)/5*3</f>
        <v>12023.8</v>
      </c>
    </row>
    <row r="292" spans="11:12" ht="12.75">
      <c r="K292" s="14">
        <v>189</v>
      </c>
      <c r="L292" s="15">
        <f>L288+(L293-L288)/5*4</f>
        <v>12287.4</v>
      </c>
    </row>
    <row r="293" spans="11:12" ht="12.75">
      <c r="K293" s="14">
        <v>190</v>
      </c>
      <c r="L293" s="15">
        <v>12551</v>
      </c>
    </row>
    <row r="294" spans="11:12" ht="12.75">
      <c r="K294" s="14">
        <v>191</v>
      </c>
      <c r="L294" s="15">
        <f>L293+(L298-L293)/5</f>
        <v>12838.2</v>
      </c>
    </row>
    <row r="295" spans="11:12" ht="12.75">
      <c r="K295" s="14">
        <v>192</v>
      </c>
      <c r="L295" s="15">
        <f>L293+(L298-L293)/5*2</f>
        <v>13125.4</v>
      </c>
    </row>
    <row r="296" spans="11:12" ht="12.75">
      <c r="K296" s="14">
        <v>193</v>
      </c>
      <c r="L296" s="15">
        <f>L293+(L298-L293)/5*3</f>
        <v>13412.6</v>
      </c>
    </row>
    <row r="297" spans="11:12" ht="12.75">
      <c r="K297" s="14">
        <v>194</v>
      </c>
      <c r="L297" s="15">
        <f>L293+(L298-L293)/5*4</f>
        <v>13699.8</v>
      </c>
    </row>
    <row r="298" spans="11:12" ht="12.75">
      <c r="K298" s="14">
        <v>195</v>
      </c>
      <c r="L298" s="15">
        <v>13987</v>
      </c>
    </row>
    <row r="299" spans="11:12" ht="12.75">
      <c r="K299" s="14">
        <v>196</v>
      </c>
      <c r="L299" s="15">
        <f>L298+(L303-L298)/5</f>
        <v>14299.4</v>
      </c>
    </row>
    <row r="300" spans="11:12" ht="12.75">
      <c r="K300" s="14">
        <v>197</v>
      </c>
      <c r="L300" s="15">
        <f>L298+(L303-L298)/5*2</f>
        <v>14611.8</v>
      </c>
    </row>
    <row r="301" spans="11:12" ht="12.75">
      <c r="K301" s="14">
        <v>198</v>
      </c>
      <c r="L301" s="15">
        <f>L298+(L303-L298)/5*3</f>
        <v>14924.2</v>
      </c>
    </row>
    <row r="302" spans="11:12" ht="12.75">
      <c r="K302" s="14">
        <v>199</v>
      </c>
      <c r="L302" s="15">
        <f>L298+(L303-L298)/5*4</f>
        <v>15236.6</v>
      </c>
    </row>
    <row r="303" spans="11:12" ht="12.75">
      <c r="K303" s="14">
        <v>200</v>
      </c>
      <c r="L303" s="15">
        <v>15549</v>
      </c>
    </row>
    <row r="304" spans="11:12" ht="12.75">
      <c r="K304" s="14">
        <v>201</v>
      </c>
      <c r="L304" s="15">
        <f>L303+(L308-L303)/5</f>
        <v>15887.8</v>
      </c>
    </row>
    <row r="305" spans="11:12" ht="12.75">
      <c r="K305" s="14">
        <v>202</v>
      </c>
      <c r="L305" s="15">
        <f>L303+(L308-L303)/5*2</f>
        <v>16226.6</v>
      </c>
    </row>
    <row r="306" spans="11:12" ht="12.75">
      <c r="K306" s="14">
        <v>203</v>
      </c>
      <c r="L306" s="15">
        <f>L303+(L308-L303)/5*3</f>
        <v>16565.4</v>
      </c>
    </row>
    <row r="307" spans="11:12" ht="12.75">
      <c r="K307" s="14">
        <v>204</v>
      </c>
      <c r="L307" s="15">
        <f>L303+(L308-L303)/5*4</f>
        <v>16904.2</v>
      </c>
    </row>
    <row r="308" spans="11:12" ht="12.75">
      <c r="K308" s="14">
        <v>205</v>
      </c>
      <c r="L308" s="15">
        <v>17243</v>
      </c>
    </row>
    <row r="309" spans="11:12" ht="12.75">
      <c r="K309" s="14">
        <v>206</v>
      </c>
      <c r="L309" s="15">
        <f>L308+(L313-L308)/5</f>
        <v>17609.8</v>
      </c>
    </row>
    <row r="310" spans="11:12" ht="12.75">
      <c r="K310" s="14">
        <v>207</v>
      </c>
      <c r="L310" s="15">
        <f>L308+(L313-L308)/5*2</f>
        <v>17976.6</v>
      </c>
    </row>
    <row r="311" spans="11:12" ht="12.75">
      <c r="K311" s="14">
        <v>208</v>
      </c>
      <c r="L311" s="15">
        <f>L308+(L313-L308)/5*3</f>
        <v>18343.4</v>
      </c>
    </row>
    <row r="312" spans="11:12" ht="12.75">
      <c r="K312" s="14">
        <v>209</v>
      </c>
      <c r="L312" s="15">
        <f>L308+(L313-L308)/5*4</f>
        <v>18710.2</v>
      </c>
    </row>
    <row r="313" spans="11:12" ht="12.75">
      <c r="K313" s="14">
        <v>210</v>
      </c>
      <c r="L313" s="15">
        <v>19077</v>
      </c>
    </row>
    <row r="314" spans="11:12" ht="12.75">
      <c r="K314" s="14">
        <v>211</v>
      </c>
      <c r="L314" s="15">
        <f>L313+(L318-L313)/5</f>
        <v>19473.6</v>
      </c>
    </row>
    <row r="315" spans="11:12" ht="12.75">
      <c r="K315" s="14">
        <v>212</v>
      </c>
      <c r="L315" s="15">
        <f>L313+(L318-L313)/5*2</f>
        <v>19870.2</v>
      </c>
    </row>
    <row r="316" spans="11:12" ht="12.75">
      <c r="K316" s="14">
        <v>213</v>
      </c>
      <c r="L316" s="15">
        <f>L313+(L318-L313)/5*3</f>
        <v>20266.8</v>
      </c>
    </row>
    <row r="317" spans="11:12" ht="12.75">
      <c r="K317" s="14">
        <v>214</v>
      </c>
      <c r="L317" s="15">
        <f>L313+(L318-L313)/5*4</f>
        <v>20663.4</v>
      </c>
    </row>
    <row r="318" spans="11:12" ht="12.75">
      <c r="K318" s="14">
        <v>215</v>
      </c>
      <c r="L318" s="15">
        <v>21060</v>
      </c>
    </row>
    <row r="319" spans="11:12" ht="12.75">
      <c r="K319" s="14">
        <v>216</v>
      </c>
      <c r="L319" s="15">
        <f>L318+(L323-L318)/5</f>
        <v>21487.6</v>
      </c>
    </row>
    <row r="320" spans="11:12" ht="12.75">
      <c r="K320" s="14">
        <v>217</v>
      </c>
      <c r="L320" s="15">
        <f>L318+(L323-L318)/5*2</f>
        <v>21915.2</v>
      </c>
    </row>
    <row r="321" spans="11:12" ht="12.75">
      <c r="K321" s="14">
        <v>218</v>
      </c>
      <c r="L321" s="15">
        <f>L318+(L323-L318)/5*3</f>
        <v>22342.8</v>
      </c>
    </row>
    <row r="322" spans="11:12" ht="12.75">
      <c r="K322" s="14">
        <v>219</v>
      </c>
      <c r="L322" s="15">
        <f>L318+(L323-L318)/5*4</f>
        <v>22770.4</v>
      </c>
    </row>
    <row r="323" spans="11:12" ht="12.75">
      <c r="K323" s="14">
        <v>220</v>
      </c>
      <c r="L323" s="15">
        <v>23198</v>
      </c>
    </row>
    <row r="324" spans="11:12" ht="12.75">
      <c r="K324" s="14">
        <v>221</v>
      </c>
      <c r="L324" s="15">
        <f>L323+(L328-L323)/5</f>
        <v>23658.6</v>
      </c>
    </row>
    <row r="325" spans="11:12" ht="12.75">
      <c r="K325" s="14">
        <v>222</v>
      </c>
      <c r="L325" s="15">
        <f>L323+(L328-L323)/5*2</f>
        <v>24119.2</v>
      </c>
    </row>
    <row r="326" spans="11:12" ht="12.75">
      <c r="K326" s="14">
        <v>223</v>
      </c>
      <c r="L326" s="15">
        <f>L323+(L328-L323)/5*3</f>
        <v>24579.8</v>
      </c>
    </row>
    <row r="327" spans="11:12" ht="12.75">
      <c r="K327" s="14">
        <v>224</v>
      </c>
      <c r="L327" s="15">
        <f>L323+(L328-L323)/5*4</f>
        <v>25040.4</v>
      </c>
    </row>
    <row r="328" spans="11:12" ht="12.75">
      <c r="K328" s="14">
        <v>225</v>
      </c>
      <c r="L328" s="15">
        <v>25501</v>
      </c>
    </row>
    <row r="329" spans="11:12" ht="12.75">
      <c r="K329" s="14">
        <v>226</v>
      </c>
      <c r="L329" s="15">
        <f>L328+(L333-L328)/5</f>
        <v>25996</v>
      </c>
    </row>
    <row r="330" spans="11:12" ht="12.75">
      <c r="K330" s="14">
        <v>227</v>
      </c>
      <c r="L330" s="15">
        <f>L328+(L333-L328)/5*2</f>
        <v>26491</v>
      </c>
    </row>
    <row r="331" spans="11:12" ht="12.75">
      <c r="K331" s="14">
        <v>228</v>
      </c>
      <c r="L331" s="15">
        <f>L328+(L333-L328)/5*3</f>
        <v>26986</v>
      </c>
    </row>
    <row r="332" spans="11:12" ht="12.75">
      <c r="K332" s="14">
        <v>229</v>
      </c>
      <c r="L332" s="15">
        <f>L328+(L333-L328)/5*4</f>
        <v>27481</v>
      </c>
    </row>
    <row r="333" spans="11:12" ht="12.75">
      <c r="K333" s="14">
        <v>230</v>
      </c>
      <c r="L333" s="15">
        <v>27976</v>
      </c>
    </row>
    <row r="334" spans="11:12" ht="12.75">
      <c r="K334" s="14">
        <v>231</v>
      </c>
      <c r="L334" s="15">
        <f>L333+(L338-L333)/5</f>
        <v>28507.2</v>
      </c>
    </row>
    <row r="335" spans="11:12" ht="12.75">
      <c r="K335" s="14">
        <v>232</v>
      </c>
      <c r="L335" s="15">
        <f>L333+(L338-L333)/5*2</f>
        <v>29038.4</v>
      </c>
    </row>
    <row r="336" spans="11:12" ht="12.75">
      <c r="K336" s="14">
        <v>233</v>
      </c>
      <c r="L336" s="15">
        <f>L333+(L338-L333)/5*3</f>
        <v>29569.6</v>
      </c>
    </row>
    <row r="337" spans="11:12" ht="12.75">
      <c r="K337" s="14">
        <v>234</v>
      </c>
      <c r="L337" s="15">
        <f>L333+(L338-L333)/5*4</f>
        <v>30100.8</v>
      </c>
    </row>
    <row r="338" spans="11:12" ht="12.75">
      <c r="K338" s="14">
        <v>235</v>
      </c>
      <c r="L338" s="15">
        <v>30632</v>
      </c>
    </row>
    <row r="339" spans="11:12" ht="12.75">
      <c r="K339" s="14">
        <v>236</v>
      </c>
      <c r="L339" s="15">
        <f>L338+(L343-L338)/5</f>
        <v>31201.2</v>
      </c>
    </row>
    <row r="340" spans="11:12" ht="12.75">
      <c r="K340" s="14">
        <v>237</v>
      </c>
      <c r="L340" s="15">
        <f>L338+(L343-L338)/5*2</f>
        <v>31770.4</v>
      </c>
    </row>
    <row r="341" spans="11:12" ht="12.75">
      <c r="K341" s="14">
        <v>238</v>
      </c>
      <c r="L341" s="15">
        <f>L338+(L343-L338)/5*3</f>
        <v>32339.6</v>
      </c>
    </row>
    <row r="342" spans="11:12" ht="12.75">
      <c r="K342" s="14">
        <v>239</v>
      </c>
      <c r="L342" s="15">
        <f>L338+(L343-L338)/5*4</f>
        <v>32908.8</v>
      </c>
    </row>
    <row r="343" spans="11:12" ht="12.75">
      <c r="K343" s="14">
        <v>240</v>
      </c>
      <c r="L343" s="15">
        <v>33478</v>
      </c>
    </row>
    <row r="344" spans="11:12" ht="12.75">
      <c r="K344" s="14">
        <v>241</v>
      </c>
      <c r="L344" s="15">
        <f>L343+(L348-L343)/5</f>
        <v>34087</v>
      </c>
    </row>
    <row r="345" spans="11:12" ht="12.75">
      <c r="K345" s="14">
        <v>242</v>
      </c>
      <c r="L345" s="15">
        <f>L343+(L348-L343)/5*2</f>
        <v>34696</v>
      </c>
    </row>
    <row r="346" spans="11:12" ht="12.75">
      <c r="K346" s="14">
        <v>243</v>
      </c>
      <c r="L346" s="15">
        <f>L343+(L348-L343)/5*3</f>
        <v>35305</v>
      </c>
    </row>
    <row r="347" spans="11:12" ht="12.75">
      <c r="K347" s="14">
        <v>244</v>
      </c>
      <c r="L347" s="15">
        <f>L343+(L348-L343)/5*4</f>
        <v>35914</v>
      </c>
    </row>
    <row r="348" spans="11:12" ht="12.75">
      <c r="K348" s="14">
        <v>245</v>
      </c>
      <c r="L348" s="15">
        <v>36523</v>
      </c>
    </row>
    <row r="349" spans="11:12" ht="12.75">
      <c r="K349" s="14">
        <v>246</v>
      </c>
      <c r="L349" s="15">
        <f>L348+(L353-L348)/5</f>
        <v>37173.6</v>
      </c>
    </row>
    <row r="350" spans="11:12" ht="12.75">
      <c r="K350" s="14">
        <v>247</v>
      </c>
      <c r="L350" s="15">
        <f>L348+(L353-L348)/5*2</f>
        <v>37824.2</v>
      </c>
    </row>
    <row r="351" spans="11:12" ht="12.75">
      <c r="K351" s="14">
        <v>248</v>
      </c>
      <c r="L351" s="15">
        <f>L348+(L353-L348)/5*3</f>
        <v>38474.8</v>
      </c>
    </row>
    <row r="352" spans="11:12" ht="12.75">
      <c r="K352" s="14">
        <v>249</v>
      </c>
      <c r="L352" s="15">
        <f>L348+(L353-L348)/5*4</f>
        <v>39125.4</v>
      </c>
    </row>
    <row r="353" spans="11:12" ht="12.75">
      <c r="K353" s="14">
        <v>250</v>
      </c>
      <c r="L353" s="15">
        <v>39776</v>
      </c>
    </row>
    <row r="354" spans="11:12" ht="12.75">
      <c r="K354" s="14">
        <v>251</v>
      </c>
      <c r="L354" s="15">
        <f>L353+(L358-L353)/5</f>
        <v>40470</v>
      </c>
    </row>
    <row r="355" spans="11:12" ht="12.75">
      <c r="K355" s="14">
        <v>252</v>
      </c>
      <c r="L355" s="15">
        <f>L353+(L358-L353)/5*2</f>
        <v>41164</v>
      </c>
    </row>
    <row r="356" spans="11:12" ht="12.75">
      <c r="K356" s="14">
        <v>253</v>
      </c>
      <c r="L356" s="15">
        <f>L353+(L358-L353)/5*3</f>
        <v>41858</v>
      </c>
    </row>
    <row r="357" spans="11:12" ht="12.75">
      <c r="K357" s="14">
        <v>254</v>
      </c>
      <c r="L357" s="15">
        <f>L353+(L358-L353)/5*4</f>
        <v>42552</v>
      </c>
    </row>
    <row r="358" spans="11:12" ht="12.75">
      <c r="K358" s="14">
        <v>255</v>
      </c>
      <c r="L358" s="15">
        <v>43246</v>
      </c>
    </row>
    <row r="359" spans="11:12" ht="12.75">
      <c r="K359" s="14">
        <v>256</v>
      </c>
      <c r="L359" s="15">
        <f>L358+(L363-L358)/5</f>
        <v>43985.4</v>
      </c>
    </row>
    <row r="360" spans="11:12" ht="12.75">
      <c r="K360" s="14">
        <v>257</v>
      </c>
      <c r="L360" s="15">
        <f>L358+(L363-L358)/5*2</f>
        <v>44724.8</v>
      </c>
    </row>
    <row r="361" spans="11:12" ht="12.75">
      <c r="K361" s="14">
        <v>258</v>
      </c>
      <c r="L361" s="15">
        <f>L358+(L363-L358)/5*3</f>
        <v>45464.2</v>
      </c>
    </row>
    <row r="362" spans="11:12" ht="12.75">
      <c r="K362" s="14">
        <v>259</v>
      </c>
      <c r="L362" s="15">
        <f>L358+(L363-L358)/5*4</f>
        <v>46203.6</v>
      </c>
    </row>
    <row r="363" spans="11:12" ht="12.75">
      <c r="K363" s="14">
        <v>260</v>
      </c>
      <c r="L363" s="15">
        <v>46943</v>
      </c>
    </row>
    <row r="364" spans="11:12" ht="12.75">
      <c r="K364" s="14">
        <v>261</v>
      </c>
      <c r="L364" s="15">
        <f>L363+(L368-L363)/5</f>
        <v>47729.8</v>
      </c>
    </row>
    <row r="365" spans="11:12" ht="12.75">
      <c r="K365" s="14">
        <v>262</v>
      </c>
      <c r="L365" s="15">
        <f>L363+(L368-L363)/5*2</f>
        <v>48516.6</v>
      </c>
    </row>
    <row r="366" spans="11:12" ht="12.75">
      <c r="K366" s="14">
        <v>263</v>
      </c>
      <c r="L366" s="15">
        <f>L363+(L368-L363)/5*3</f>
        <v>49303.4</v>
      </c>
    </row>
    <row r="367" spans="11:12" ht="12.75">
      <c r="K367" s="14">
        <v>264</v>
      </c>
      <c r="L367" s="15">
        <f>L363+(L368-L363)/5*4</f>
        <v>50090.2</v>
      </c>
    </row>
    <row r="368" spans="11:12" ht="12.75">
      <c r="K368" s="14">
        <v>265</v>
      </c>
      <c r="L368" s="15">
        <v>50877</v>
      </c>
    </row>
    <row r="369" spans="11:12" ht="12.75">
      <c r="K369" s="14">
        <v>266</v>
      </c>
      <c r="L369" s="15">
        <f>L368+(L373-L368)/5</f>
        <v>51713.2</v>
      </c>
    </row>
    <row r="370" spans="11:12" ht="12.75">
      <c r="K370" s="14">
        <v>267</v>
      </c>
      <c r="L370" s="15">
        <f>L368+(L373-L368)/5*2</f>
        <v>52549.4</v>
      </c>
    </row>
    <row r="371" spans="11:12" ht="12.75">
      <c r="K371" s="14">
        <v>268</v>
      </c>
      <c r="L371" s="15">
        <f>L368+(L373-L368)/5*3</f>
        <v>53385.6</v>
      </c>
    </row>
    <row r="372" spans="11:12" ht="12.75">
      <c r="K372" s="14">
        <v>269</v>
      </c>
      <c r="L372" s="15">
        <f>L368+(L373-L368)/5*4</f>
        <v>54221.8</v>
      </c>
    </row>
    <row r="373" spans="11:12" ht="12.75">
      <c r="K373" s="14">
        <v>270</v>
      </c>
      <c r="L373" s="15">
        <v>55058</v>
      </c>
    </row>
    <row r="374" spans="11:12" ht="12.75">
      <c r="K374" s="14">
        <v>271</v>
      </c>
      <c r="L374" s="15">
        <f>L373+(L378-L373)/5</f>
        <v>55945.6</v>
      </c>
    </row>
    <row r="375" spans="11:12" ht="12.75">
      <c r="K375" s="14">
        <v>272</v>
      </c>
      <c r="L375" s="15">
        <f>L373+(L378-L373)/5*2</f>
        <v>56833.2</v>
      </c>
    </row>
    <row r="376" spans="11:12" ht="12.75">
      <c r="K376" s="14">
        <v>273</v>
      </c>
      <c r="L376" s="15">
        <f>L373+(L378-L373)/5*3</f>
        <v>57720.8</v>
      </c>
    </row>
    <row r="377" spans="11:12" ht="12.75">
      <c r="K377" s="14">
        <v>274</v>
      </c>
      <c r="L377" s="15">
        <f>L373+(L378-L373)/5*4</f>
        <v>58608.4</v>
      </c>
    </row>
    <row r="378" spans="11:12" ht="12.75">
      <c r="K378" s="14">
        <v>275</v>
      </c>
      <c r="L378" s="15">
        <v>59496</v>
      </c>
    </row>
    <row r="379" spans="11:12" ht="12.75">
      <c r="K379" s="14">
        <v>276</v>
      </c>
      <c r="L379" s="15">
        <f>L378+(L383-L378)/5</f>
        <v>60437.2</v>
      </c>
    </row>
    <row r="380" spans="11:12" ht="12.75">
      <c r="K380" s="14">
        <v>277</v>
      </c>
      <c r="L380" s="15">
        <f>L378+(L383-L378)/5*2</f>
        <v>61378.4</v>
      </c>
    </row>
    <row r="381" spans="11:12" ht="12.75">
      <c r="K381" s="14">
        <v>278</v>
      </c>
      <c r="L381" s="15">
        <f>L378+(L383-L378)/5*3</f>
        <v>62319.6</v>
      </c>
    </row>
    <row r="382" spans="11:12" ht="12.75">
      <c r="K382" s="14">
        <v>279</v>
      </c>
      <c r="L382" s="15">
        <f>L378+(L383-L378)/5*4</f>
        <v>63260.8</v>
      </c>
    </row>
    <row r="383" spans="11:12" ht="12.75">
      <c r="K383" s="14">
        <v>280</v>
      </c>
      <c r="L383" s="15">
        <v>64202</v>
      </c>
    </row>
    <row r="384" spans="11:12" ht="12.75">
      <c r="K384" s="14">
        <v>281</v>
      </c>
      <c r="L384" s="15">
        <f>L383+(L388-L383)/5</f>
        <v>65198.8</v>
      </c>
    </row>
    <row r="385" spans="11:12" ht="12.75">
      <c r="K385" s="14">
        <v>282</v>
      </c>
      <c r="L385" s="15">
        <f>L383+(L388-L383)/5*2</f>
        <v>66195.6</v>
      </c>
    </row>
    <row r="386" spans="11:12" ht="12.75">
      <c r="K386" s="14">
        <v>283</v>
      </c>
      <c r="L386" s="15">
        <f>L383+(L388-L383)/5*3</f>
        <v>67192.4</v>
      </c>
    </row>
    <row r="387" spans="11:12" ht="12.75">
      <c r="K387" s="14">
        <v>284</v>
      </c>
      <c r="L387" s="15">
        <f>L383+(L388-L383)/5*4</f>
        <v>68189.2</v>
      </c>
    </row>
    <row r="388" spans="11:12" ht="12.75">
      <c r="K388" s="14">
        <v>285</v>
      </c>
      <c r="L388" s="15">
        <v>69186</v>
      </c>
    </row>
    <row r="389" spans="11:12" ht="12.75">
      <c r="K389" s="14">
        <v>286</v>
      </c>
      <c r="L389" s="15">
        <f>L388+(L393-L388)/5</f>
        <v>70241</v>
      </c>
    </row>
    <row r="390" spans="11:12" ht="12.75">
      <c r="K390" s="14">
        <v>287</v>
      </c>
      <c r="L390" s="15">
        <f>L388+(L393-L388)/5*2</f>
        <v>71296</v>
      </c>
    </row>
    <row r="391" spans="11:12" ht="12.75">
      <c r="K391" s="14">
        <v>288</v>
      </c>
      <c r="L391" s="15">
        <f>L388+(L393-L388)/5*3</f>
        <v>72351</v>
      </c>
    </row>
    <row r="392" spans="11:12" ht="12.75">
      <c r="K392" s="14">
        <v>289</v>
      </c>
      <c r="L392" s="15">
        <f>L388+(L393-L388)/5*4</f>
        <v>73406</v>
      </c>
    </row>
    <row r="393" spans="11:12" ht="12.75">
      <c r="K393" s="14">
        <v>290</v>
      </c>
      <c r="L393" s="15">
        <v>74461</v>
      </c>
    </row>
    <row r="394" spans="11:12" ht="12.75">
      <c r="K394" s="14">
        <v>291</v>
      </c>
      <c r="L394" s="15">
        <f>L393+(L398-L393)/5</f>
        <v>75576.2</v>
      </c>
    </row>
    <row r="395" spans="11:12" ht="12.75">
      <c r="K395" s="14">
        <v>292</v>
      </c>
      <c r="L395" s="15">
        <f>L393+(L398-L393)/5*2</f>
        <v>76691.4</v>
      </c>
    </row>
    <row r="396" spans="11:12" ht="12.75">
      <c r="K396" s="14">
        <v>293</v>
      </c>
      <c r="L396" s="15">
        <f>L393+(L398-L393)/5*3</f>
        <v>77806.6</v>
      </c>
    </row>
    <row r="397" spans="11:12" ht="12.75">
      <c r="K397" s="14">
        <v>294</v>
      </c>
      <c r="L397" s="15">
        <f>L393+(L398-L393)/5*4</f>
        <v>78921.8</v>
      </c>
    </row>
    <row r="398" spans="11:12" ht="12.75">
      <c r="K398" s="14">
        <v>295</v>
      </c>
      <c r="L398" s="15">
        <v>80037</v>
      </c>
    </row>
    <row r="399" spans="11:12" ht="12.75">
      <c r="K399" s="14">
        <v>296</v>
      </c>
      <c r="L399" s="15">
        <f>L398+(L403-L398)/5</f>
        <v>81215</v>
      </c>
    </row>
    <row r="400" spans="11:12" ht="12.75">
      <c r="K400" s="14">
        <v>297</v>
      </c>
      <c r="L400" s="15">
        <f>L398+(L403-L398)/5*2</f>
        <v>82393</v>
      </c>
    </row>
    <row r="401" spans="11:12" ht="12.75">
      <c r="K401" s="14">
        <v>298</v>
      </c>
      <c r="L401" s="15">
        <f>L398+(L403-L398)/5*3</f>
        <v>83571</v>
      </c>
    </row>
    <row r="402" spans="11:12" ht="12.75">
      <c r="K402" s="14">
        <v>299</v>
      </c>
      <c r="L402" s="15">
        <f>L398+(L403-L398)/5*4</f>
        <v>84749</v>
      </c>
    </row>
    <row r="403" spans="11:12" ht="12.75">
      <c r="K403" s="14">
        <v>300</v>
      </c>
      <c r="L403" s="15">
        <v>85927</v>
      </c>
    </row>
  </sheetData>
  <sheetProtection/>
  <printOptions/>
  <pageMargins left="0.75" right="0.75" top="1" bottom="1" header="0" footer="0"/>
  <pageSetup horizontalDpi="300" verticalDpi="300" orientation="portrait" paperSize="9" r:id="rId5"/>
  <legacyDrawing r:id="rId4"/>
  <oleObjects>
    <oleObject progId="Equation.3" shapeId="23771286" r:id="rId1"/>
    <oleObject progId="Equation.3" shapeId="23771285" r:id="rId2"/>
    <oleObject progId="Equation.3" shapeId="23771284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C1:H9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3" max="8" width="11.7109375" style="0" customWidth="1"/>
  </cols>
  <sheetData>
    <row r="1" spans="3:8" ht="15">
      <c r="C1" s="42"/>
      <c r="D1" s="42"/>
      <c r="E1" s="42"/>
      <c r="F1" s="42"/>
      <c r="G1" s="42"/>
      <c r="H1" s="42"/>
    </row>
    <row r="2" spans="3:8" ht="15">
      <c r="C2" s="158" t="s">
        <v>293</v>
      </c>
      <c r="D2" s="42"/>
      <c r="E2" s="42"/>
      <c r="F2" s="42"/>
      <c r="G2" s="42"/>
      <c r="H2" s="42"/>
    </row>
    <row r="3" spans="3:8" ht="15" thickBot="1">
      <c r="C3" s="42"/>
      <c r="D3" s="42"/>
      <c r="E3" s="42"/>
      <c r="F3" s="42"/>
      <c r="G3" s="42"/>
      <c r="H3" s="42"/>
    </row>
    <row r="4" spans="3:8" ht="15" thickTop="1">
      <c r="C4" s="234" t="s">
        <v>260</v>
      </c>
      <c r="D4" s="159"/>
      <c r="E4" s="159"/>
      <c r="F4" s="159"/>
      <c r="G4" s="159"/>
      <c r="H4" s="160"/>
    </row>
    <row r="5" spans="3:8" ht="15">
      <c r="C5" s="162" t="s">
        <v>300</v>
      </c>
      <c r="D5" s="42"/>
      <c r="E5" s="42"/>
      <c r="F5" s="42"/>
      <c r="G5" s="42"/>
      <c r="H5" s="163"/>
    </row>
    <row r="6" spans="3:8" ht="15">
      <c r="C6" s="168" t="s">
        <v>264</v>
      </c>
      <c r="D6" s="169"/>
      <c r="E6" s="169"/>
      <c r="F6" s="169"/>
      <c r="G6" s="42"/>
      <c r="H6" s="163"/>
    </row>
    <row r="7" spans="3:8" ht="15">
      <c r="C7" s="162" t="s">
        <v>265</v>
      </c>
      <c r="D7" s="177"/>
      <c r="E7" s="169"/>
      <c r="F7" s="169"/>
      <c r="G7" s="42"/>
      <c r="H7" s="163"/>
    </row>
    <row r="8" spans="3:8" ht="15">
      <c r="C8" s="162"/>
      <c r="D8" s="177"/>
      <c r="E8" s="169"/>
      <c r="F8" s="169"/>
      <c r="G8" s="42"/>
      <c r="H8" s="163"/>
    </row>
    <row r="9" spans="3:8" ht="15">
      <c r="C9" s="162"/>
      <c r="D9" s="177"/>
      <c r="E9" s="169"/>
      <c r="F9" s="169"/>
      <c r="G9" s="42"/>
      <c r="H9" s="163"/>
    </row>
    <row r="10" spans="3:8" ht="15">
      <c r="C10" s="185" t="s">
        <v>366</v>
      </c>
      <c r="D10" s="177"/>
      <c r="E10" s="169"/>
      <c r="F10" s="169"/>
      <c r="G10" s="42"/>
      <c r="H10" s="163"/>
    </row>
    <row r="11" spans="3:8" ht="15">
      <c r="C11" s="168" t="s">
        <v>367</v>
      </c>
      <c r="D11" s="235">
        <v>0</v>
      </c>
      <c r="E11" s="231" t="s">
        <v>124</v>
      </c>
      <c r="F11" s="169"/>
      <c r="G11" s="42"/>
      <c r="H11" s="163"/>
    </row>
    <row r="12" spans="3:8" ht="15">
      <c r="C12" s="168" t="s">
        <v>368</v>
      </c>
      <c r="D12" s="177">
        <v>1.013</v>
      </c>
      <c r="E12" s="156" t="s">
        <v>5</v>
      </c>
      <c r="F12" s="169" t="s">
        <v>304</v>
      </c>
      <c r="G12" s="42"/>
      <c r="H12" s="163"/>
    </row>
    <row r="13" spans="3:8" ht="15">
      <c r="C13" s="168" t="s">
        <v>369</v>
      </c>
      <c r="D13" s="169">
        <v>0</v>
      </c>
      <c r="E13" s="169" t="s">
        <v>1</v>
      </c>
      <c r="F13" s="169"/>
      <c r="G13" s="42"/>
      <c r="H13" s="163"/>
    </row>
    <row r="14" spans="3:8" ht="15">
      <c r="C14" s="168" t="s">
        <v>261</v>
      </c>
      <c r="D14" s="42"/>
      <c r="E14" s="42"/>
      <c r="F14" s="42"/>
      <c r="G14" s="42"/>
      <c r="H14" s="163"/>
    </row>
    <row r="15" spans="3:8" ht="15">
      <c r="C15" s="168" t="s">
        <v>266</v>
      </c>
      <c r="D15" s="42"/>
      <c r="E15" s="42"/>
      <c r="F15" s="42"/>
      <c r="G15" s="42"/>
      <c r="H15" s="163"/>
    </row>
    <row r="16" spans="3:8" ht="15">
      <c r="C16" s="168" t="s">
        <v>223</v>
      </c>
      <c r="D16" s="42"/>
      <c r="E16" s="42"/>
      <c r="F16" s="192"/>
      <c r="G16" s="192"/>
      <c r="H16" s="163"/>
    </row>
    <row r="17" spans="3:8" ht="15">
      <c r="C17" s="168" t="s">
        <v>224</v>
      </c>
      <c r="D17" s="42"/>
      <c r="E17" s="42"/>
      <c r="F17" s="192"/>
      <c r="G17" s="192"/>
      <c r="H17" s="163"/>
    </row>
    <row r="18" spans="3:8" ht="15">
      <c r="C18" s="168" t="s">
        <v>225</v>
      </c>
      <c r="D18" s="42"/>
      <c r="E18" s="42"/>
      <c r="F18" s="192"/>
      <c r="G18" s="192"/>
      <c r="H18" s="163"/>
    </row>
    <row r="19" spans="3:8" ht="15">
      <c r="C19" s="168" t="s">
        <v>226</v>
      </c>
      <c r="D19" s="42"/>
      <c r="E19" s="42"/>
      <c r="F19" s="192"/>
      <c r="G19" s="192"/>
      <c r="H19" s="163"/>
    </row>
    <row r="20" spans="3:8" ht="15">
      <c r="C20" s="168" t="s">
        <v>238</v>
      </c>
      <c r="D20" s="42"/>
      <c r="E20" s="42"/>
      <c r="F20" s="192"/>
      <c r="G20" s="192"/>
      <c r="H20" s="163"/>
    </row>
    <row r="21" spans="3:8" ht="15">
      <c r="C21" s="168" t="s">
        <v>227</v>
      </c>
      <c r="D21" s="42"/>
      <c r="E21" s="42"/>
      <c r="F21" s="192"/>
      <c r="G21" s="192"/>
      <c r="H21" s="163"/>
    </row>
    <row r="22" spans="3:8" ht="15">
      <c r="C22" s="168" t="s">
        <v>262</v>
      </c>
      <c r="D22" s="42"/>
      <c r="E22" s="42"/>
      <c r="F22" s="192"/>
      <c r="G22" s="192"/>
      <c r="H22" s="163"/>
    </row>
    <row r="23" spans="3:8" ht="15">
      <c r="C23" s="168" t="s">
        <v>261</v>
      </c>
      <c r="D23" s="42"/>
      <c r="E23" s="42"/>
      <c r="F23" s="192"/>
      <c r="G23" s="192"/>
      <c r="H23" s="163"/>
    </row>
    <row r="24" spans="3:8" ht="15">
      <c r="C24" s="168" t="s">
        <v>267</v>
      </c>
      <c r="D24" s="42"/>
      <c r="E24" s="42"/>
      <c r="F24" s="192"/>
      <c r="G24" s="192"/>
      <c r="H24" s="163"/>
    </row>
    <row r="25" spans="3:8" ht="15">
      <c r="C25" s="168" t="s">
        <v>261</v>
      </c>
      <c r="D25" s="42"/>
      <c r="E25" s="42"/>
      <c r="F25" s="192"/>
      <c r="G25" s="192"/>
      <c r="H25" s="163"/>
    </row>
    <row r="26" spans="3:8" ht="15">
      <c r="C26" s="168" t="s">
        <v>268</v>
      </c>
      <c r="D26" s="42"/>
      <c r="E26" s="42"/>
      <c r="F26" s="192"/>
      <c r="G26" s="192"/>
      <c r="H26" s="163"/>
    </row>
    <row r="27" spans="3:8" ht="15">
      <c r="C27" s="168" t="s">
        <v>228</v>
      </c>
      <c r="D27" s="42"/>
      <c r="E27" s="42"/>
      <c r="F27" s="42"/>
      <c r="G27" s="42"/>
      <c r="H27" s="163"/>
    </row>
    <row r="28" spans="3:8" ht="15">
      <c r="C28" s="168" t="s">
        <v>229</v>
      </c>
      <c r="D28" s="42"/>
      <c r="E28" s="177"/>
      <c r="F28" s="42"/>
      <c r="G28" s="42"/>
      <c r="H28" s="163"/>
    </row>
    <row r="29" spans="3:8" ht="15">
      <c r="C29" s="168" t="s">
        <v>261</v>
      </c>
      <c r="D29" s="42"/>
      <c r="E29" s="42"/>
      <c r="F29" s="42"/>
      <c r="G29" s="42"/>
      <c r="H29" s="163"/>
    </row>
    <row r="30" spans="3:8" ht="15">
      <c r="C30" s="168" t="s">
        <v>269</v>
      </c>
      <c r="D30" s="42"/>
      <c r="E30" s="42"/>
      <c r="F30" s="42"/>
      <c r="G30" s="42"/>
      <c r="H30" s="163"/>
    </row>
    <row r="31" spans="3:8" ht="15">
      <c r="C31" s="168" t="s">
        <v>239</v>
      </c>
      <c r="D31" s="42"/>
      <c r="E31" s="42"/>
      <c r="F31" s="42"/>
      <c r="G31" s="42"/>
      <c r="H31" s="163"/>
    </row>
    <row r="32" spans="3:8" ht="15">
      <c r="C32" s="168" t="s">
        <v>261</v>
      </c>
      <c r="D32" s="42"/>
      <c r="E32" s="42"/>
      <c r="F32" s="42"/>
      <c r="G32" s="42"/>
      <c r="H32" s="163"/>
    </row>
    <row r="33" spans="3:8" ht="15">
      <c r="C33" s="168" t="s">
        <v>230</v>
      </c>
      <c r="D33" s="42"/>
      <c r="E33" s="42"/>
      <c r="F33" s="42"/>
      <c r="G33" s="42"/>
      <c r="H33" s="163"/>
    </row>
    <row r="34" spans="3:8" ht="15">
      <c r="C34" s="168" t="s">
        <v>240</v>
      </c>
      <c r="D34" s="42"/>
      <c r="E34" s="42"/>
      <c r="F34" s="42"/>
      <c r="G34" s="42"/>
      <c r="H34" s="163"/>
    </row>
    <row r="35" spans="3:8" ht="15">
      <c r="C35" s="168" t="s">
        <v>241</v>
      </c>
      <c r="D35" s="42"/>
      <c r="E35" s="42"/>
      <c r="F35" s="42"/>
      <c r="G35" s="42"/>
      <c r="H35" s="163"/>
    </row>
    <row r="36" spans="3:8" ht="15">
      <c r="C36" s="168" t="s">
        <v>261</v>
      </c>
      <c r="D36" s="42"/>
      <c r="E36" s="42"/>
      <c r="F36" s="42"/>
      <c r="G36" s="42"/>
      <c r="H36" s="163"/>
    </row>
    <row r="37" spans="3:8" ht="15">
      <c r="C37" s="168" t="s">
        <v>261</v>
      </c>
      <c r="D37" s="42"/>
      <c r="E37" s="42"/>
      <c r="F37" s="42"/>
      <c r="G37" s="42"/>
      <c r="H37" s="163"/>
    </row>
    <row r="38" spans="3:8" ht="15">
      <c r="C38" s="212" t="s">
        <v>270</v>
      </c>
      <c r="D38" s="42"/>
      <c r="E38" s="42"/>
      <c r="F38" s="42"/>
      <c r="G38" s="42"/>
      <c r="H38" s="163"/>
    </row>
    <row r="39" spans="3:8" ht="15">
      <c r="C39" s="168" t="s">
        <v>261</v>
      </c>
      <c r="D39" s="42"/>
      <c r="E39" s="42"/>
      <c r="F39" s="42"/>
      <c r="G39" s="42"/>
      <c r="H39" s="163"/>
    </row>
    <row r="40" spans="3:8" ht="15">
      <c r="C40" s="168" t="s">
        <v>271</v>
      </c>
      <c r="D40" s="42"/>
      <c r="E40" s="42"/>
      <c r="F40" s="42"/>
      <c r="G40" s="42"/>
      <c r="H40" s="163"/>
    </row>
    <row r="41" spans="3:8" ht="15">
      <c r="C41" s="168" t="s">
        <v>242</v>
      </c>
      <c r="D41" s="42"/>
      <c r="E41" s="42"/>
      <c r="F41" s="42"/>
      <c r="G41" s="42"/>
      <c r="H41" s="163"/>
    </row>
    <row r="42" spans="3:8" ht="15">
      <c r="C42" s="168" t="s">
        <v>243</v>
      </c>
      <c r="D42" s="42"/>
      <c r="E42" s="42"/>
      <c r="F42" s="42"/>
      <c r="G42" s="42"/>
      <c r="H42" s="163"/>
    </row>
    <row r="43" spans="3:8" ht="15">
      <c r="C43" s="168" t="s">
        <v>262</v>
      </c>
      <c r="D43" s="42"/>
      <c r="E43" s="42"/>
      <c r="F43" s="42"/>
      <c r="G43" s="42"/>
      <c r="H43" s="163"/>
    </row>
    <row r="44" spans="3:8" ht="15">
      <c r="C44" s="168" t="s">
        <v>244</v>
      </c>
      <c r="D44" s="42"/>
      <c r="E44" s="42"/>
      <c r="F44" s="42"/>
      <c r="G44" s="42"/>
      <c r="H44" s="163"/>
    </row>
    <row r="45" spans="3:8" ht="15">
      <c r="C45" s="168" t="s">
        <v>261</v>
      </c>
      <c r="D45" s="42"/>
      <c r="E45" s="42"/>
      <c r="F45" s="42"/>
      <c r="G45" s="42"/>
      <c r="H45" s="163"/>
    </row>
    <row r="46" spans="3:8" ht="15">
      <c r="C46" s="168" t="s">
        <v>231</v>
      </c>
      <c r="D46" s="42"/>
      <c r="E46" s="42"/>
      <c r="F46" s="42"/>
      <c r="G46" s="42"/>
      <c r="H46" s="163"/>
    </row>
    <row r="47" spans="3:8" ht="15">
      <c r="C47" s="168" t="s">
        <v>245</v>
      </c>
      <c r="D47" s="42"/>
      <c r="E47" s="42"/>
      <c r="F47" s="42"/>
      <c r="G47" s="42"/>
      <c r="H47" s="163"/>
    </row>
    <row r="48" spans="3:8" ht="15">
      <c r="C48" s="168" t="s">
        <v>262</v>
      </c>
      <c r="D48" s="42"/>
      <c r="E48" s="42"/>
      <c r="F48" s="42"/>
      <c r="G48" s="42"/>
      <c r="H48" s="163"/>
    </row>
    <row r="49" spans="3:8" ht="15">
      <c r="C49" s="168" t="s">
        <v>272</v>
      </c>
      <c r="D49" s="42"/>
      <c r="E49" s="42"/>
      <c r="F49" s="42"/>
      <c r="G49" s="42"/>
      <c r="H49" s="163"/>
    </row>
    <row r="50" spans="3:8" ht="15">
      <c r="C50" s="168" t="s">
        <v>246</v>
      </c>
      <c r="D50" s="42"/>
      <c r="E50" s="42"/>
      <c r="F50" s="42"/>
      <c r="G50" s="42"/>
      <c r="H50" s="163"/>
    </row>
    <row r="51" spans="3:8" ht="15">
      <c r="C51" s="168" t="s">
        <v>247</v>
      </c>
      <c r="D51" s="42"/>
      <c r="E51" s="42"/>
      <c r="F51" s="42"/>
      <c r="G51" s="42"/>
      <c r="H51" s="163"/>
    </row>
    <row r="52" spans="3:8" ht="15">
      <c r="C52" s="168" t="s">
        <v>262</v>
      </c>
      <c r="D52" s="42"/>
      <c r="E52" s="42"/>
      <c r="F52" s="42"/>
      <c r="G52" s="42"/>
      <c r="H52" s="163"/>
    </row>
    <row r="53" spans="3:8" ht="15">
      <c r="C53" s="162" t="s">
        <v>305</v>
      </c>
      <c r="D53" s="42"/>
      <c r="E53" s="42"/>
      <c r="F53" s="42"/>
      <c r="G53" s="42"/>
      <c r="H53" s="163"/>
    </row>
    <row r="54" spans="3:8" ht="15">
      <c r="C54" s="168" t="s">
        <v>297</v>
      </c>
      <c r="D54" s="42"/>
      <c r="E54" s="42"/>
      <c r="F54" s="42"/>
      <c r="G54" s="42"/>
      <c r="H54" s="163"/>
    </row>
    <row r="55" spans="3:8" ht="15">
      <c r="C55" s="168" t="s">
        <v>262</v>
      </c>
      <c r="D55" s="42"/>
      <c r="E55" s="42"/>
      <c r="F55" s="42"/>
      <c r="G55" s="42"/>
      <c r="H55" s="163"/>
    </row>
    <row r="56" spans="3:8" ht="15">
      <c r="C56" s="212" t="s">
        <v>273</v>
      </c>
      <c r="D56" s="42"/>
      <c r="E56" s="42"/>
      <c r="F56" s="42"/>
      <c r="G56" s="42"/>
      <c r="H56" s="163"/>
    </row>
    <row r="57" spans="3:8" ht="15">
      <c r="C57" s="168" t="s">
        <v>261</v>
      </c>
      <c r="D57" s="42"/>
      <c r="E57" s="42"/>
      <c r="F57" s="42"/>
      <c r="G57" s="42"/>
      <c r="H57" s="163"/>
    </row>
    <row r="58" spans="3:8" ht="15">
      <c r="C58" s="168" t="s">
        <v>274</v>
      </c>
      <c r="D58" s="42"/>
      <c r="E58" s="42"/>
      <c r="F58" s="42"/>
      <c r="G58" s="42"/>
      <c r="H58" s="163"/>
    </row>
    <row r="59" spans="3:8" ht="15">
      <c r="C59" s="168" t="s">
        <v>298</v>
      </c>
      <c r="D59" s="42"/>
      <c r="E59" s="42"/>
      <c r="F59" s="42"/>
      <c r="G59" s="42"/>
      <c r="H59" s="163"/>
    </row>
    <row r="60" spans="3:8" ht="15">
      <c r="C60" s="168" t="s">
        <v>275</v>
      </c>
      <c r="D60" s="42"/>
      <c r="E60" s="42"/>
      <c r="F60" s="42"/>
      <c r="G60" s="42"/>
      <c r="H60" s="163"/>
    </row>
    <row r="61" spans="3:8" ht="15">
      <c r="C61" s="168" t="s">
        <v>276</v>
      </c>
      <c r="D61" s="42"/>
      <c r="E61" s="42"/>
      <c r="F61" s="42"/>
      <c r="G61" s="42"/>
      <c r="H61" s="163"/>
    </row>
    <row r="62" spans="3:8" ht="15">
      <c r="C62" s="168" t="s">
        <v>248</v>
      </c>
      <c r="D62" s="42"/>
      <c r="E62" s="42"/>
      <c r="F62" s="42"/>
      <c r="G62" s="42"/>
      <c r="H62" s="163"/>
    </row>
    <row r="63" spans="3:8" ht="15">
      <c r="C63" s="168" t="s">
        <v>261</v>
      </c>
      <c r="D63" s="42"/>
      <c r="E63" s="42"/>
      <c r="F63" s="42"/>
      <c r="G63" s="42"/>
      <c r="H63" s="163"/>
    </row>
    <row r="64" spans="3:8" ht="15">
      <c r="C64" s="168" t="s">
        <v>277</v>
      </c>
      <c r="D64" s="42"/>
      <c r="E64" s="42"/>
      <c r="F64" s="42"/>
      <c r="G64" s="42"/>
      <c r="H64" s="163"/>
    </row>
    <row r="65" spans="3:8" ht="15">
      <c r="C65" s="168" t="s">
        <v>249</v>
      </c>
      <c r="D65" s="42"/>
      <c r="E65" s="42"/>
      <c r="F65" s="42"/>
      <c r="G65" s="42"/>
      <c r="H65" s="163"/>
    </row>
    <row r="66" spans="3:8" ht="15">
      <c r="C66" s="168" t="s">
        <v>261</v>
      </c>
      <c r="D66" s="42"/>
      <c r="E66" s="42"/>
      <c r="F66" s="42"/>
      <c r="G66" s="42"/>
      <c r="H66" s="163"/>
    </row>
    <row r="67" spans="3:8" ht="15">
      <c r="C67" s="168" t="s">
        <v>278</v>
      </c>
      <c r="D67" s="42"/>
      <c r="E67" s="42"/>
      <c r="F67" s="42"/>
      <c r="G67" s="42"/>
      <c r="H67" s="163"/>
    </row>
    <row r="68" spans="3:8" ht="15">
      <c r="C68" s="168" t="s">
        <v>250</v>
      </c>
      <c r="D68" s="42"/>
      <c r="E68" s="42"/>
      <c r="F68" s="42"/>
      <c r="G68" s="42"/>
      <c r="H68" s="163"/>
    </row>
    <row r="69" spans="3:8" ht="15">
      <c r="C69" s="168" t="s">
        <v>261</v>
      </c>
      <c r="D69" s="42"/>
      <c r="E69" s="42"/>
      <c r="F69" s="42"/>
      <c r="G69" s="42"/>
      <c r="H69" s="163"/>
    </row>
    <row r="70" spans="3:8" ht="15">
      <c r="C70" s="168" t="s">
        <v>279</v>
      </c>
      <c r="D70" s="42"/>
      <c r="E70" s="42"/>
      <c r="F70" s="42"/>
      <c r="G70" s="42"/>
      <c r="H70" s="163"/>
    </row>
    <row r="71" spans="3:8" ht="15">
      <c r="C71" s="168" t="s">
        <v>251</v>
      </c>
      <c r="D71" s="42"/>
      <c r="E71" s="42"/>
      <c r="F71" s="42"/>
      <c r="G71" s="42"/>
      <c r="H71" s="163"/>
    </row>
    <row r="72" spans="3:8" ht="15">
      <c r="C72" s="168" t="s">
        <v>261</v>
      </c>
      <c r="D72" s="42"/>
      <c r="E72" s="42"/>
      <c r="F72" s="42"/>
      <c r="G72" s="42"/>
      <c r="H72" s="163"/>
    </row>
    <row r="73" spans="3:8" ht="15">
      <c r="C73" s="168" t="s">
        <v>280</v>
      </c>
      <c r="D73" s="42"/>
      <c r="E73" s="42"/>
      <c r="F73" s="42"/>
      <c r="G73" s="42"/>
      <c r="H73" s="163"/>
    </row>
    <row r="74" spans="3:8" ht="15">
      <c r="C74" s="168" t="s">
        <v>232</v>
      </c>
      <c r="D74" s="42"/>
      <c r="E74" s="42"/>
      <c r="F74" s="42"/>
      <c r="G74" s="42"/>
      <c r="H74" s="163"/>
    </row>
    <row r="75" spans="3:8" ht="15">
      <c r="C75" s="168" t="s">
        <v>261</v>
      </c>
      <c r="D75" s="42"/>
      <c r="E75" s="42"/>
      <c r="F75" s="42"/>
      <c r="G75" s="42"/>
      <c r="H75" s="163"/>
    </row>
    <row r="76" spans="3:8" ht="15">
      <c r="C76" s="168" t="s">
        <v>233</v>
      </c>
      <c r="D76" s="42"/>
      <c r="E76" s="42"/>
      <c r="F76" s="42"/>
      <c r="G76" s="42"/>
      <c r="H76" s="163"/>
    </row>
    <row r="77" spans="3:8" ht="15">
      <c r="C77" s="168" t="s">
        <v>234</v>
      </c>
      <c r="D77" s="42"/>
      <c r="E77" s="42"/>
      <c r="F77" s="42"/>
      <c r="G77" s="42"/>
      <c r="H77" s="163"/>
    </row>
    <row r="78" spans="3:8" ht="15">
      <c r="C78" s="168" t="s">
        <v>261</v>
      </c>
      <c r="D78" s="42"/>
      <c r="E78" s="42"/>
      <c r="F78" s="42"/>
      <c r="G78" s="42"/>
      <c r="H78" s="163"/>
    </row>
    <row r="79" spans="3:8" ht="15">
      <c r="C79" s="168" t="s">
        <v>252</v>
      </c>
      <c r="D79" s="42"/>
      <c r="E79" s="42"/>
      <c r="F79" s="42"/>
      <c r="G79" s="42" t="s">
        <v>117</v>
      </c>
      <c r="H79" s="163"/>
    </row>
    <row r="80" spans="3:8" ht="15">
      <c r="C80" s="168" t="s">
        <v>253</v>
      </c>
      <c r="D80" s="42"/>
      <c r="E80" s="42"/>
      <c r="F80" s="42"/>
      <c r="G80" s="42"/>
      <c r="H80" s="163"/>
    </row>
    <row r="81" spans="3:8" ht="15">
      <c r="C81" s="168" t="s">
        <v>254</v>
      </c>
      <c r="D81" s="42"/>
      <c r="E81" s="42"/>
      <c r="F81" s="42"/>
      <c r="G81" s="42"/>
      <c r="H81" s="163"/>
    </row>
    <row r="82" spans="3:8" ht="15">
      <c r="C82" s="168" t="s">
        <v>261</v>
      </c>
      <c r="D82" s="42"/>
      <c r="E82" s="42"/>
      <c r="F82" s="42"/>
      <c r="G82" s="42"/>
      <c r="H82" s="163"/>
    </row>
    <row r="83" spans="3:8" ht="15">
      <c r="C83" s="168" t="s">
        <v>235</v>
      </c>
      <c r="D83" s="42"/>
      <c r="E83" s="42"/>
      <c r="F83" s="42"/>
      <c r="G83" s="42"/>
      <c r="H83" s="163"/>
    </row>
    <row r="84" spans="3:8" ht="15">
      <c r="C84" s="168" t="s">
        <v>236</v>
      </c>
      <c r="D84" s="42"/>
      <c r="E84" s="42"/>
      <c r="F84" s="42"/>
      <c r="G84" s="42"/>
      <c r="H84" s="163"/>
    </row>
    <row r="85" spans="3:8" ht="15">
      <c r="C85" s="168"/>
      <c r="D85" s="42"/>
      <c r="E85" s="42"/>
      <c r="F85" s="42"/>
      <c r="G85" s="42"/>
      <c r="H85" s="163"/>
    </row>
    <row r="86" spans="3:8" ht="15">
      <c r="C86" s="168" t="s">
        <v>263</v>
      </c>
      <c r="D86" s="42"/>
      <c r="E86" s="42"/>
      <c r="F86" s="42"/>
      <c r="G86" s="42"/>
      <c r="H86" s="163"/>
    </row>
    <row r="87" spans="3:8" ht="15">
      <c r="C87" s="168" t="s">
        <v>299</v>
      </c>
      <c r="D87" s="42"/>
      <c r="E87" s="42"/>
      <c r="F87" s="42"/>
      <c r="G87" s="42"/>
      <c r="H87" s="163"/>
    </row>
    <row r="88" spans="3:8" ht="15">
      <c r="C88" s="168" t="s">
        <v>237</v>
      </c>
      <c r="D88" s="42"/>
      <c r="E88" s="42"/>
      <c r="F88" s="42"/>
      <c r="G88" s="42"/>
      <c r="H88" s="163"/>
    </row>
    <row r="89" spans="3:8" ht="15" thickBot="1">
      <c r="C89" s="199"/>
      <c r="D89" s="200"/>
      <c r="E89" s="200"/>
      <c r="F89" s="200"/>
      <c r="G89" s="200"/>
      <c r="H89" s="201"/>
    </row>
    <row r="90" spans="3:8" ht="15" thickTop="1">
      <c r="C90" s="156"/>
      <c r="D90" s="156"/>
      <c r="E90" s="156"/>
      <c r="F90" s="156"/>
      <c r="G90" s="156"/>
      <c r="H90" s="15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B3:C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3" spans="2:3" ht="12.75">
      <c r="B3" s="43" t="s">
        <v>295</v>
      </c>
      <c r="C3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Atlas Copco Chilena S.A.C.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CHLDF</dc:creator>
  <cp:keywords/>
  <dc:description/>
  <cp:lastModifiedBy>Amadeus</cp:lastModifiedBy>
  <cp:lastPrinted>2010-08-31T13:44:22Z</cp:lastPrinted>
  <dcterms:created xsi:type="dcterms:W3CDTF">2010-08-30T19:10:40Z</dcterms:created>
  <dcterms:modified xsi:type="dcterms:W3CDTF">2023-03-26T20:50:14Z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